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2019\Desktop\ТЕХПРИС\"/>
    </mc:Choice>
  </mc:AlternateContent>
  <bookViews>
    <workbookView xWindow="0" yWindow="0" windowWidth="28800" windowHeight="12435" activeTab="10"/>
  </bookViews>
  <sheets>
    <sheet name="январь" sheetId="1" r:id="rId1"/>
    <sheet name="февраль" sheetId="3" r:id="rId2"/>
    <sheet name="март" sheetId="2" r:id="rId3"/>
    <sheet name="апрель" sheetId="4" r:id="rId4"/>
    <sheet name="май" sheetId="5" r:id="rId5"/>
    <sheet name="июнь" sheetId="6" r:id="rId6"/>
    <sheet name="июль" sheetId="7" r:id="rId7"/>
    <sheet name="август" sheetId="8" r:id="rId8"/>
    <sheet name="сентябрь" sheetId="9" r:id="rId9"/>
    <sheet name="октябрь" sheetId="10" r:id="rId10"/>
    <sheet name="ноябрь" sheetId="11" r:id="rId11"/>
    <sheet name="декабрь" sheetId="12" r:id="rId12"/>
  </sheets>
  <definedNames>
    <definedName name="_xlnm.Print_Area" localSheetId="0">январь!$A$1:$P$49</definedName>
  </definedNames>
  <calcPr calcId="152511"/>
</workbook>
</file>

<file path=xl/calcChain.xml><?xml version="1.0" encoding="utf-8"?>
<calcChain xmlns="http://schemas.openxmlformats.org/spreadsheetml/2006/main">
  <c r="P32" i="11" l="1"/>
  <c r="O32" i="11"/>
  <c r="N32" i="11"/>
  <c r="M32" i="11"/>
  <c r="F32" i="11"/>
  <c r="E32" i="11"/>
  <c r="H9" i="11"/>
  <c r="G9" i="11"/>
  <c r="F9" i="11"/>
  <c r="E9" i="11"/>
  <c r="P31" i="11"/>
  <c r="O31" i="11"/>
  <c r="N31" i="11"/>
  <c r="M31" i="11"/>
  <c r="F31" i="11"/>
  <c r="E31" i="11"/>
  <c r="H8" i="11"/>
  <c r="G8" i="11"/>
  <c r="F8" i="11"/>
  <c r="E8" i="11"/>
  <c r="N36" i="11"/>
  <c r="M36" i="11"/>
  <c r="F36" i="11"/>
  <c r="E36" i="11"/>
  <c r="P36" i="11"/>
  <c r="O36" i="11"/>
  <c r="N34" i="11"/>
  <c r="M34" i="11"/>
  <c r="F34" i="11"/>
  <c r="E34" i="11"/>
  <c r="N33" i="11"/>
  <c r="M33" i="11"/>
  <c r="F33" i="11"/>
  <c r="E33" i="11"/>
  <c r="H10" i="11"/>
  <c r="G10" i="11"/>
  <c r="F10" i="11"/>
  <c r="E10" i="11"/>
  <c r="H11" i="11"/>
  <c r="G11" i="11"/>
  <c r="F11" i="11"/>
  <c r="E11" i="11"/>
  <c r="P33" i="11"/>
  <c r="O33" i="11"/>
  <c r="H13" i="11"/>
  <c r="G13" i="11"/>
  <c r="F13" i="11"/>
  <c r="E13" i="11"/>
  <c r="L45" i="11" l="1"/>
  <c r="K45" i="11"/>
  <c r="J45" i="11"/>
  <c r="I45" i="11"/>
  <c r="H45" i="11"/>
  <c r="G45" i="11"/>
  <c r="N45" i="11"/>
  <c r="M45" i="11"/>
  <c r="P45" i="11"/>
  <c r="O45" i="11"/>
  <c r="F45" i="11"/>
  <c r="E45" i="11"/>
  <c r="M17" i="11"/>
  <c r="L17" i="11"/>
  <c r="K17" i="11"/>
  <c r="J17" i="11"/>
  <c r="I17" i="11"/>
  <c r="F17" i="11"/>
  <c r="G17" i="11"/>
  <c r="H17" i="11"/>
  <c r="E17" i="11"/>
  <c r="P31" i="10" l="1"/>
  <c r="O31" i="10"/>
  <c r="N31" i="10"/>
  <c r="M31" i="10"/>
  <c r="F31" i="10"/>
  <c r="E31" i="10"/>
  <c r="H8" i="10"/>
  <c r="G8" i="10"/>
  <c r="F8" i="10"/>
  <c r="E8" i="10"/>
  <c r="P32" i="10"/>
  <c r="O32" i="10"/>
  <c r="N32" i="10"/>
  <c r="M32" i="10"/>
  <c r="F32" i="10"/>
  <c r="E32" i="10"/>
  <c r="H9" i="10"/>
  <c r="G9" i="10"/>
  <c r="F9" i="10"/>
  <c r="E9" i="10"/>
  <c r="P34" i="10"/>
  <c r="O34" i="10"/>
  <c r="F34" i="10"/>
  <c r="E34" i="10"/>
  <c r="H11" i="10"/>
  <c r="G11" i="10"/>
  <c r="F11" i="10"/>
  <c r="E11" i="10"/>
  <c r="N41" i="10"/>
  <c r="F41" i="10"/>
  <c r="P33" i="10"/>
  <c r="O33" i="10"/>
  <c r="N33" i="10"/>
  <c r="M33" i="10"/>
  <c r="F33" i="10"/>
  <c r="E33" i="10"/>
  <c r="H15" i="10"/>
  <c r="G15" i="10"/>
  <c r="F13" i="10"/>
  <c r="E13" i="10"/>
  <c r="H10" i="10"/>
  <c r="G10" i="10"/>
  <c r="F10" i="10"/>
  <c r="E10" i="10"/>
  <c r="H13" i="10"/>
  <c r="G13" i="10"/>
  <c r="P34" i="9" l="1"/>
  <c r="O34" i="9"/>
  <c r="N34" i="9"/>
  <c r="M34" i="9"/>
  <c r="F34" i="9"/>
  <c r="E34" i="9"/>
  <c r="P32" i="9"/>
  <c r="O32" i="9"/>
  <c r="N32" i="9"/>
  <c r="M32" i="9"/>
  <c r="F32" i="9"/>
  <c r="E32" i="9"/>
  <c r="H11" i="9"/>
  <c r="G11" i="9"/>
  <c r="F11" i="9"/>
  <c r="E11" i="9"/>
  <c r="H9" i="9"/>
  <c r="G9" i="9"/>
  <c r="F9" i="9"/>
  <c r="E9" i="9"/>
  <c r="P31" i="9"/>
  <c r="O31" i="9"/>
  <c r="N31" i="9"/>
  <c r="M31" i="9"/>
  <c r="F31" i="9"/>
  <c r="E31" i="9"/>
  <c r="H8" i="9"/>
  <c r="G8" i="9"/>
  <c r="F8" i="9"/>
  <c r="E8" i="9"/>
  <c r="L45" i="10"/>
  <c r="K45" i="10"/>
  <c r="J45" i="10"/>
  <c r="I45" i="10"/>
  <c r="H45" i="10"/>
  <c r="G45" i="10"/>
  <c r="N45" i="10"/>
  <c r="M45" i="10"/>
  <c r="P45" i="10"/>
  <c r="O45" i="10"/>
  <c r="F45" i="10"/>
  <c r="E45" i="10"/>
  <c r="M17" i="10"/>
  <c r="L17" i="10"/>
  <c r="K17" i="10"/>
  <c r="J17" i="10"/>
  <c r="G17" i="10"/>
  <c r="H17" i="10"/>
  <c r="F17" i="10"/>
  <c r="I17" i="10"/>
  <c r="E17" i="10"/>
  <c r="K8" i="9" l="1"/>
  <c r="J8" i="9"/>
  <c r="I8" i="9"/>
  <c r="P37" i="9" l="1"/>
  <c r="O37" i="9"/>
  <c r="O45" i="9" s="1"/>
  <c r="N37" i="9"/>
  <c r="M37" i="9"/>
  <c r="M45" i="9" s="1"/>
  <c r="F37" i="9"/>
  <c r="E37" i="9"/>
  <c r="H13" i="9"/>
  <c r="G13" i="9"/>
  <c r="F10" i="9"/>
  <c r="E10" i="9"/>
  <c r="H15" i="9"/>
  <c r="G15" i="9"/>
  <c r="G17" i="9" s="1"/>
  <c r="F15" i="9"/>
  <c r="E15" i="9"/>
  <c r="L45" i="9"/>
  <c r="K45" i="9"/>
  <c r="J45" i="9"/>
  <c r="I45" i="9"/>
  <c r="H45" i="9"/>
  <c r="G45" i="9"/>
  <c r="E45" i="9"/>
  <c r="P45" i="9"/>
  <c r="N45" i="9"/>
  <c r="F45" i="9"/>
  <c r="M17" i="9"/>
  <c r="L17" i="9"/>
  <c r="K17" i="9"/>
  <c r="J17" i="9"/>
  <c r="I17" i="9"/>
  <c r="F17" i="9"/>
  <c r="E17" i="9"/>
  <c r="H17" i="9"/>
  <c r="P31" i="8" l="1"/>
  <c r="O31" i="8"/>
  <c r="N31" i="8"/>
  <c r="M31" i="8"/>
  <c r="F31" i="8"/>
  <c r="E31" i="8"/>
  <c r="H8" i="8"/>
  <c r="G8" i="8"/>
  <c r="F8" i="8"/>
  <c r="E8" i="8"/>
  <c r="P34" i="8" l="1"/>
  <c r="O34" i="8"/>
  <c r="N34" i="8"/>
  <c r="M34" i="8"/>
  <c r="F34" i="8"/>
  <c r="E34" i="8"/>
  <c r="P32" i="8"/>
  <c r="O32" i="8"/>
  <c r="N32" i="8"/>
  <c r="M32" i="8"/>
  <c r="F32" i="8"/>
  <c r="E32" i="8"/>
  <c r="H13" i="8"/>
  <c r="G13" i="8"/>
  <c r="F13" i="8"/>
  <c r="E13" i="8"/>
  <c r="H12" i="8"/>
  <c r="G12" i="8"/>
  <c r="H10" i="8"/>
  <c r="G10" i="8"/>
  <c r="F10" i="8"/>
  <c r="E10" i="8"/>
  <c r="H9" i="8"/>
  <c r="G9" i="8"/>
  <c r="F9" i="8"/>
  <c r="E9" i="8"/>
  <c r="H11" i="8"/>
  <c r="G11" i="8"/>
  <c r="F11" i="8"/>
  <c r="E11" i="8"/>
  <c r="P32" i="7" l="1"/>
  <c r="O32" i="7"/>
  <c r="N32" i="7"/>
  <c r="M32" i="7"/>
  <c r="F32" i="7"/>
  <c r="E32" i="7"/>
  <c r="P31" i="7"/>
  <c r="O31" i="7"/>
  <c r="N31" i="7"/>
  <c r="M31" i="7"/>
  <c r="F31" i="7"/>
  <c r="E31" i="7"/>
  <c r="H9" i="7"/>
  <c r="G9" i="7"/>
  <c r="F9" i="7"/>
  <c r="E9" i="7"/>
  <c r="H8" i="7"/>
  <c r="G8" i="7"/>
  <c r="F8" i="7"/>
  <c r="E8" i="7"/>
  <c r="P34" i="7" l="1"/>
  <c r="O34" i="7"/>
  <c r="F13" i="7"/>
  <c r="E13" i="7"/>
  <c r="F12" i="7"/>
  <c r="E12" i="7"/>
  <c r="H10" i="7"/>
  <c r="G10" i="7"/>
  <c r="F10" i="7"/>
  <c r="E10" i="7"/>
  <c r="N33" i="7"/>
  <c r="M33" i="7"/>
  <c r="F33" i="7"/>
  <c r="E33" i="7"/>
  <c r="N35" i="7"/>
  <c r="M35" i="7"/>
  <c r="F35" i="7"/>
  <c r="E35" i="7"/>
  <c r="P45" i="8" l="1"/>
  <c r="O45" i="8"/>
  <c r="N45" i="8"/>
  <c r="M45" i="8"/>
  <c r="L45" i="8"/>
  <c r="K45" i="8"/>
  <c r="J45" i="8"/>
  <c r="I45" i="8"/>
  <c r="H45" i="8"/>
  <c r="G45" i="8"/>
  <c r="F45" i="8"/>
  <c r="E45" i="8"/>
  <c r="M17" i="8"/>
  <c r="L17" i="8"/>
  <c r="K17" i="8"/>
  <c r="J17" i="8"/>
  <c r="I17" i="8"/>
  <c r="H17" i="8"/>
  <c r="G17" i="8"/>
  <c r="F17" i="8"/>
  <c r="E17" i="8"/>
  <c r="L45" i="7"/>
  <c r="K45" i="7"/>
  <c r="J45" i="7"/>
  <c r="I45" i="7"/>
  <c r="H45" i="7"/>
  <c r="G45" i="7"/>
  <c r="F45" i="7"/>
  <c r="N45" i="7"/>
  <c r="M45" i="7"/>
  <c r="P45" i="7"/>
  <c r="O45" i="7"/>
  <c r="E45" i="7"/>
  <c r="M17" i="7"/>
  <c r="L17" i="7"/>
  <c r="K17" i="7"/>
  <c r="J17" i="7"/>
  <c r="H17" i="7"/>
  <c r="G17" i="7"/>
  <c r="F17" i="7"/>
  <c r="I17" i="7"/>
  <c r="E17" i="7"/>
  <c r="P33" i="6" l="1"/>
  <c r="O33" i="6"/>
  <c r="P32" i="6"/>
  <c r="O32" i="6"/>
  <c r="N32" i="6"/>
  <c r="M32" i="6"/>
  <c r="F32" i="6"/>
  <c r="E32" i="6"/>
  <c r="H9" i="6"/>
  <c r="G9" i="6"/>
  <c r="F9" i="6"/>
  <c r="E9" i="6"/>
  <c r="P31" i="6" l="1"/>
  <c r="O31" i="6"/>
  <c r="N31" i="6"/>
  <c r="M31" i="6"/>
  <c r="F31" i="6"/>
  <c r="E31" i="6"/>
  <c r="H8" i="6"/>
  <c r="G8" i="6"/>
  <c r="F8" i="6"/>
  <c r="E8" i="6"/>
  <c r="P36" i="6"/>
  <c r="O36" i="6"/>
  <c r="N34" i="6"/>
  <c r="M34" i="6"/>
  <c r="F34" i="6"/>
  <c r="E34" i="6"/>
  <c r="H10" i="6"/>
  <c r="G10" i="6"/>
  <c r="F10" i="6"/>
  <c r="E10" i="6"/>
  <c r="N33" i="6"/>
  <c r="M33" i="6"/>
  <c r="F33" i="6"/>
  <c r="E33" i="6"/>
  <c r="K8" i="6"/>
  <c r="J8" i="6"/>
  <c r="J17" i="6" s="1"/>
  <c r="I8" i="6"/>
  <c r="L45" i="6"/>
  <c r="K45" i="6"/>
  <c r="J45" i="6"/>
  <c r="I45" i="6"/>
  <c r="H45" i="6"/>
  <c r="G45" i="6"/>
  <c r="P45" i="6"/>
  <c r="M45" i="6"/>
  <c r="O45" i="6"/>
  <c r="N45" i="6"/>
  <c r="F45" i="6"/>
  <c r="E45" i="6"/>
  <c r="M17" i="6"/>
  <c r="L17" i="6"/>
  <c r="K17" i="6"/>
  <c r="I17" i="6"/>
  <c r="F17" i="6"/>
  <c r="E17" i="6"/>
  <c r="H17" i="6"/>
  <c r="G17" i="6"/>
  <c r="F34" i="5" l="1"/>
  <c r="E34" i="5"/>
  <c r="P32" i="5"/>
  <c r="O32" i="5"/>
  <c r="N32" i="5"/>
  <c r="M32" i="5"/>
  <c r="F32" i="5"/>
  <c r="E32" i="5"/>
  <c r="G11" i="5"/>
  <c r="F11" i="5"/>
  <c r="E11" i="5"/>
  <c r="H9" i="5"/>
  <c r="G9" i="5"/>
  <c r="F9" i="5"/>
  <c r="E9" i="5"/>
  <c r="P31" i="5"/>
  <c r="O31" i="5"/>
  <c r="N31" i="5"/>
  <c r="M31" i="5"/>
  <c r="F31" i="5"/>
  <c r="E31" i="5"/>
  <c r="H10" i="5"/>
  <c r="G10" i="5"/>
  <c r="F10" i="5"/>
  <c r="E10" i="5"/>
  <c r="F8" i="5"/>
  <c r="E8" i="5"/>
  <c r="H8" i="5"/>
  <c r="H17" i="5" s="1"/>
  <c r="G8" i="5"/>
  <c r="N34" i="5"/>
  <c r="M34" i="5"/>
  <c r="O36" i="5"/>
  <c r="H11" i="5"/>
  <c r="N33" i="5"/>
  <c r="M33" i="5"/>
  <c r="F33" i="5"/>
  <c r="E33" i="5"/>
  <c r="G45" i="5"/>
  <c r="P36" i="5"/>
  <c r="P34" i="5"/>
  <c r="O34" i="5"/>
  <c r="F13" i="5"/>
  <c r="E13" i="5"/>
  <c r="L45" i="5"/>
  <c r="K45" i="5"/>
  <c r="J45" i="5"/>
  <c r="I45" i="5"/>
  <c r="H45" i="5"/>
  <c r="M17" i="5"/>
  <c r="L17" i="5"/>
  <c r="K17" i="5"/>
  <c r="J17" i="5"/>
  <c r="I17" i="5"/>
  <c r="F17" i="5"/>
  <c r="N45" i="5" l="1"/>
  <c r="G17" i="5"/>
  <c r="E17" i="5"/>
  <c r="F45" i="5"/>
  <c r="O45" i="5"/>
  <c r="P45" i="5"/>
  <c r="M45" i="5"/>
  <c r="E45" i="5"/>
  <c r="P36" i="4"/>
  <c r="P34" i="4"/>
  <c r="P33" i="4"/>
  <c r="P32" i="4"/>
  <c r="P31" i="4"/>
  <c r="O36" i="4"/>
  <c r="O34" i="4"/>
  <c r="O33" i="4"/>
  <c r="O32" i="4"/>
  <c r="O31" i="4"/>
  <c r="N34" i="4"/>
  <c r="N33" i="4"/>
  <c r="N32" i="4"/>
  <c r="N31" i="4"/>
  <c r="M34" i="4"/>
  <c r="M33" i="4"/>
  <c r="M32" i="4"/>
  <c r="M31" i="4"/>
  <c r="F34" i="4"/>
  <c r="E34" i="4"/>
  <c r="F32" i="4"/>
  <c r="E32" i="4"/>
  <c r="F31" i="4"/>
  <c r="E31" i="4"/>
  <c r="H13" i="4" l="1"/>
  <c r="G13" i="4"/>
  <c r="F12" i="4"/>
  <c r="E12" i="4"/>
  <c r="H11" i="4"/>
  <c r="G11" i="4"/>
  <c r="F11" i="4"/>
  <c r="E11" i="4"/>
  <c r="H10" i="4"/>
  <c r="G10" i="4"/>
  <c r="F10" i="4"/>
  <c r="E10" i="4"/>
  <c r="H9" i="4"/>
  <c r="G9" i="4"/>
  <c r="F9" i="4"/>
  <c r="E9" i="4"/>
  <c r="H8" i="4"/>
  <c r="G8" i="4"/>
  <c r="F8" i="4"/>
  <c r="E8" i="4"/>
  <c r="O45" i="4"/>
  <c r="L45" i="4"/>
  <c r="K45" i="4"/>
  <c r="J45" i="4"/>
  <c r="I45" i="4"/>
  <c r="H45" i="4"/>
  <c r="G45" i="4"/>
  <c r="E45" i="4"/>
  <c r="P45" i="4"/>
  <c r="N45" i="4"/>
  <c r="M45" i="4"/>
  <c r="F45" i="4"/>
  <c r="M17" i="4"/>
  <c r="L17" i="4"/>
  <c r="K17" i="4"/>
  <c r="J17" i="4"/>
  <c r="I17" i="4"/>
  <c r="H17" i="4"/>
  <c r="G17" i="4"/>
  <c r="F17" i="4"/>
  <c r="E17" i="4"/>
  <c r="O31" i="2" l="1"/>
  <c r="O32" i="2"/>
  <c r="N32" i="2"/>
  <c r="P31" i="2"/>
  <c r="N31" i="2"/>
  <c r="M32" i="2"/>
  <c r="M31" i="2"/>
  <c r="F32" i="2"/>
  <c r="E32" i="2"/>
  <c r="F31" i="2"/>
  <c r="E31" i="2"/>
  <c r="G18" i="2"/>
  <c r="E18" i="2"/>
  <c r="E9" i="2"/>
  <c r="L45" i="3" l="1"/>
  <c r="K45" i="3"/>
  <c r="J45" i="3"/>
  <c r="I45" i="3"/>
  <c r="H45" i="3"/>
  <c r="G45" i="3"/>
  <c r="F36" i="3"/>
  <c r="E36" i="3"/>
  <c r="N34" i="3"/>
  <c r="M34" i="3"/>
  <c r="F34" i="3"/>
  <c r="E34" i="3"/>
  <c r="P32" i="3"/>
  <c r="O32" i="3"/>
  <c r="N32" i="3"/>
  <c r="M32" i="3"/>
  <c r="F32" i="3"/>
  <c r="E32" i="3"/>
  <c r="E45" i="3" s="1"/>
  <c r="P31" i="3"/>
  <c r="P45" i="3" s="1"/>
  <c r="O31" i="3"/>
  <c r="O45" i="3" s="1"/>
  <c r="N31" i="3"/>
  <c r="N45" i="3" s="1"/>
  <c r="M31" i="3"/>
  <c r="M45" i="3" s="1"/>
  <c r="F31" i="3"/>
  <c r="F45" i="3" s="1"/>
  <c r="E31" i="3"/>
  <c r="M17" i="3"/>
  <c r="L17" i="3"/>
  <c r="K17" i="3"/>
  <c r="J17" i="3"/>
  <c r="I17" i="3"/>
  <c r="F15" i="3"/>
  <c r="E15" i="3"/>
  <c r="F13" i="3"/>
  <c r="E13" i="3"/>
  <c r="H10" i="3"/>
  <c r="G10" i="3"/>
  <c r="F10" i="3"/>
  <c r="E10" i="3"/>
  <c r="H8" i="3"/>
  <c r="H17" i="3" s="1"/>
  <c r="G8" i="3"/>
  <c r="G17" i="3" s="1"/>
  <c r="F8" i="3"/>
  <c r="F17" i="3" s="1"/>
  <c r="E8" i="3"/>
  <c r="E17" i="3" s="1"/>
  <c r="L45" i="1" l="1"/>
  <c r="K45" i="1"/>
  <c r="J45" i="1"/>
  <c r="I45" i="1"/>
  <c r="P34" i="1"/>
  <c r="O34" i="1"/>
  <c r="N34" i="1"/>
  <c r="M34" i="1"/>
  <c r="F34" i="1"/>
  <c r="E34" i="1"/>
  <c r="P33" i="1"/>
  <c r="O33" i="1"/>
  <c r="N33" i="1"/>
  <c r="M33" i="1"/>
  <c r="F33" i="1"/>
  <c r="E33" i="1"/>
  <c r="P32" i="1"/>
  <c r="O32" i="1"/>
  <c r="N32" i="1"/>
  <c r="M32" i="1"/>
  <c r="H32" i="1"/>
  <c r="H45" i="1" s="1"/>
  <c r="G32" i="1"/>
  <c r="G45" i="1" s="1"/>
  <c r="F32" i="1"/>
  <c r="F45" i="1" s="1"/>
  <c r="E32" i="1"/>
  <c r="E45" i="1" s="1"/>
  <c r="P31" i="1"/>
  <c r="P45" i="1" s="1"/>
  <c r="O31" i="1"/>
  <c r="O45" i="1" s="1"/>
  <c r="N31" i="1"/>
  <c r="N45" i="1" s="1"/>
  <c r="M31" i="1"/>
  <c r="M45" i="1" s="1"/>
  <c r="F31" i="1"/>
  <c r="E31" i="1"/>
  <c r="M17" i="1"/>
  <c r="L17" i="1"/>
  <c r="K17" i="1"/>
  <c r="I17" i="1"/>
  <c r="H17" i="1"/>
  <c r="H15" i="1"/>
  <c r="G15" i="1"/>
  <c r="H13" i="1"/>
  <c r="G13" i="1"/>
  <c r="F13" i="1"/>
  <c r="E13" i="1"/>
  <c r="G11" i="1"/>
  <c r="F11" i="1"/>
  <c r="E11" i="1"/>
  <c r="H10" i="1"/>
  <c r="G10" i="1"/>
  <c r="F10" i="1"/>
  <c r="E10" i="1"/>
  <c r="E17" i="1" s="1"/>
  <c r="J9" i="1"/>
  <c r="J17" i="1" s="1"/>
  <c r="I9" i="1"/>
  <c r="H9" i="1"/>
  <c r="G9" i="1"/>
  <c r="F9" i="1"/>
  <c r="E9" i="1"/>
  <c r="H8" i="1"/>
  <c r="G8" i="1"/>
  <c r="G17" i="1" s="1"/>
  <c r="F8" i="1"/>
  <c r="F17" i="1" s="1"/>
  <c r="E8" i="1"/>
  <c r="E17" i="2" l="1"/>
  <c r="L45" i="2"/>
  <c r="K45" i="2"/>
  <c r="J45" i="2"/>
  <c r="I45" i="2"/>
  <c r="H45" i="2"/>
  <c r="G45" i="2"/>
  <c r="F45" i="2"/>
  <c r="P45" i="2"/>
  <c r="O45" i="2"/>
  <c r="N45" i="2"/>
  <c r="M45" i="2"/>
  <c r="E45" i="2"/>
  <c r="M17" i="2"/>
  <c r="L17" i="2"/>
  <c r="K17" i="2"/>
  <c r="J17" i="2"/>
  <c r="I17" i="2"/>
  <c r="H17" i="2"/>
  <c r="G17" i="2"/>
  <c r="F17" i="2" l="1"/>
</calcChain>
</file>

<file path=xl/sharedStrings.xml><?xml version="1.0" encoding="utf-8"?>
<sst xmlns="http://schemas.openxmlformats.org/spreadsheetml/2006/main" count="1472" uniqueCount="104">
  <si>
    <t>№</t>
  </si>
  <si>
    <r>
      <rPr>
        <b/>
        <sz val="14"/>
        <rFont val="Times New Roman"/>
        <family val="1"/>
        <charset val="204"/>
      </rPr>
      <t>Категория заявителей</t>
    </r>
  </si>
  <si>
    <r>
      <rPr>
        <b/>
        <sz val="14"/>
        <rFont val="Times New Roman"/>
        <family val="1"/>
        <charset val="204"/>
      </rPr>
      <t>Количество поступивших запросов</t>
    </r>
  </si>
  <si>
    <r>
      <rPr>
        <b/>
        <sz val="14"/>
        <rFont val="Times New Roman"/>
        <family val="1"/>
        <charset val="204"/>
      </rPr>
      <t>Количество выданных технических условий</t>
    </r>
  </si>
  <si>
    <r>
      <rPr>
        <b/>
        <sz val="14"/>
        <rFont val="Times New Roman"/>
        <family val="1"/>
        <charset val="204"/>
      </rPr>
      <t>Количество отклоненных запросов о выдаче технических условий</t>
    </r>
  </si>
  <si>
    <r>
      <rPr>
        <b/>
        <sz val="14"/>
        <rFont val="Times New Roman"/>
        <family val="1"/>
        <charset val="204"/>
      </rPr>
      <t>количество</t>
    </r>
  </si>
  <si>
    <r>
      <rPr>
        <b/>
        <sz val="14"/>
        <rFont val="Times New Roman"/>
        <family val="1"/>
        <charset val="204"/>
      </rPr>
      <t>объем, м</t>
    </r>
    <r>
      <rPr>
        <b/>
        <vertAlign val="superscript"/>
        <sz val="14"/>
        <rFont val="Times New Roman"/>
        <family val="1"/>
        <charset val="204"/>
      </rPr>
      <t>3</t>
    </r>
    <r>
      <rPr>
        <b/>
        <sz val="14"/>
        <rFont val="Times New Roman"/>
        <family val="1"/>
        <charset val="204"/>
      </rPr>
      <t>/час</t>
    </r>
  </si>
  <si>
    <r>
      <rPr>
        <b/>
        <sz val="14"/>
        <rFont val="Times New Roman"/>
        <family val="1"/>
        <charset val="204"/>
      </rPr>
      <t>отсутствие документов</t>
    </r>
  </si>
  <si>
    <r>
      <rPr>
        <b/>
        <sz val="14"/>
        <rFont val="Times New Roman"/>
        <family val="1"/>
        <charset val="204"/>
      </rPr>
      <t>отсутствие в программе газификации</t>
    </r>
  </si>
  <si>
    <r>
      <rPr>
        <b/>
        <sz val="14"/>
        <rFont val="Times New Roman"/>
        <family val="1"/>
        <charset val="204"/>
      </rPr>
      <t>отсутствие технической возможности</t>
    </r>
  </si>
  <si>
    <r>
      <rPr>
        <b/>
        <sz val="14"/>
        <rFont val="Times New Roman"/>
        <family val="1"/>
        <charset val="204"/>
      </rPr>
      <t>1</t>
    </r>
  </si>
  <si>
    <r>
      <rPr>
        <b/>
        <sz val="14"/>
        <rFont val="Times New Roman"/>
        <family val="1"/>
        <charset val="204"/>
      </rPr>
      <t>2</t>
    </r>
  </si>
  <si>
    <r>
      <rPr>
        <b/>
        <sz val="14"/>
        <rFont val="Times New Roman"/>
        <family val="1"/>
        <charset val="204"/>
      </rPr>
      <t>3</t>
    </r>
  </si>
  <si>
    <r>
      <rPr>
        <b/>
        <sz val="14"/>
        <rFont val="Times New Roman"/>
        <family val="1"/>
        <charset val="204"/>
      </rPr>
      <t>4</t>
    </r>
  </si>
  <si>
    <r>
      <rPr>
        <b/>
        <sz val="14"/>
        <rFont val="Times New Roman"/>
        <family val="1"/>
        <charset val="204"/>
      </rPr>
      <t>5</t>
    </r>
  </si>
  <si>
    <r>
      <rPr>
        <b/>
        <sz val="14"/>
        <rFont val="Times New Roman"/>
        <family val="1"/>
        <charset val="204"/>
      </rPr>
      <t>6</t>
    </r>
  </si>
  <si>
    <r>
      <rPr>
        <b/>
        <sz val="14"/>
        <rFont val="Times New Roman"/>
        <family val="1"/>
        <charset val="204"/>
      </rPr>
      <t>7</t>
    </r>
  </si>
  <si>
    <r>
      <rPr>
        <b/>
        <sz val="14"/>
        <rFont val="Times New Roman"/>
        <family val="1"/>
        <charset val="204"/>
      </rPr>
      <t>8</t>
    </r>
  </si>
  <si>
    <r>
      <rPr>
        <b/>
        <sz val="14"/>
        <rFont val="Times New Roman"/>
        <family val="1"/>
        <charset val="204"/>
      </rPr>
      <t>9</t>
    </r>
  </si>
  <si>
    <r>
      <rPr>
        <b/>
        <sz val="14"/>
        <rFont val="Times New Roman"/>
        <family val="1"/>
        <charset val="204"/>
      </rPr>
      <t>10</t>
    </r>
  </si>
  <si>
    <r>
      <rPr>
        <b/>
        <sz val="14"/>
        <rFont val="Times New Roman"/>
        <family val="1"/>
        <charset val="204"/>
      </rPr>
      <t>I</t>
    </r>
  </si>
  <si>
    <r>
      <rPr>
        <b/>
        <i/>
        <sz val="14"/>
        <rFont val="Times New Roman"/>
        <family val="1"/>
        <charset val="204"/>
      </rPr>
      <t>Объект капитального строительства</t>
    </r>
  </si>
  <si>
    <r>
      <rPr>
        <b/>
        <sz val="14"/>
        <rFont val="Times New Roman"/>
        <family val="1"/>
        <charset val="204"/>
      </rPr>
      <t>I категория</t>
    </r>
  </si>
  <si>
    <r>
      <rPr>
        <b/>
        <sz val="14"/>
        <rFont val="Times New Roman"/>
        <family val="1"/>
        <charset val="204"/>
      </rPr>
      <t>физическое лицо</t>
    </r>
  </si>
  <si>
    <r>
      <rPr>
        <b/>
        <sz val="14"/>
        <rFont val="Times New Roman"/>
        <family val="1"/>
        <charset val="204"/>
      </rPr>
      <t>плата</t>
    </r>
  </si>
  <si>
    <r>
      <rPr>
        <b/>
        <sz val="14"/>
        <rFont val="Times New Roman"/>
        <family val="1"/>
        <charset val="204"/>
      </rPr>
      <t>стандартизированные ставки</t>
    </r>
  </si>
  <si>
    <r>
      <rPr>
        <b/>
        <sz val="14"/>
        <rFont val="Times New Roman"/>
        <family val="1"/>
        <charset val="204"/>
      </rPr>
      <t>юридическое лицо</t>
    </r>
  </si>
  <si>
    <r>
      <rPr>
        <b/>
        <sz val="14"/>
        <rFont val="Times New Roman"/>
        <family val="1"/>
        <charset val="204"/>
      </rPr>
      <t>II категория</t>
    </r>
  </si>
  <si>
    <r>
      <rPr>
        <b/>
        <sz val="14"/>
        <rFont val="Times New Roman"/>
        <family val="1"/>
        <charset val="204"/>
      </rPr>
      <t>III категория</t>
    </r>
  </si>
  <si>
    <r>
      <rPr>
        <b/>
        <sz val="14"/>
        <rFont val="Times New Roman"/>
        <family val="1"/>
        <charset val="204"/>
      </rPr>
      <t>индивидуальный проект</t>
    </r>
  </si>
  <si>
    <r>
      <rPr>
        <b/>
        <sz val="14"/>
        <rFont val="Times New Roman"/>
        <family val="1"/>
        <charset val="204"/>
      </rPr>
      <t>11</t>
    </r>
  </si>
  <si>
    <r>
      <rPr>
        <b/>
        <sz val="14"/>
        <rFont val="Times New Roman"/>
        <family val="1"/>
        <charset val="204"/>
      </rPr>
      <t>Итого:</t>
    </r>
  </si>
  <si>
    <r>
      <rPr>
        <b/>
        <sz val="14"/>
        <rFont val="Times New Roman"/>
        <family val="1"/>
        <charset val="204"/>
      </rPr>
      <t>12</t>
    </r>
  </si>
  <si>
    <r>
      <rPr>
        <b/>
        <i/>
        <sz val="14"/>
        <rFont val="Times New Roman"/>
        <family val="1"/>
        <charset val="204"/>
      </rPr>
      <t>Объект сети газораспределения</t>
    </r>
  </si>
  <si>
    <t>Причины отклонения</t>
  </si>
  <si>
    <r>
      <rPr>
        <b/>
        <sz val="14"/>
        <rFont val="Times New Roman"/>
        <family val="1"/>
        <charset val="204"/>
      </rPr>
      <t>Форма 2</t>
    </r>
  </si>
  <si>
    <t>Категория заявителей</t>
  </si>
  <si>
    <t>Количество поступивших заявок</t>
  </si>
  <si>
    <t>Количество заключенных договоров</t>
  </si>
  <si>
    <t>Количество выполненных присоединений</t>
  </si>
  <si>
    <t>количество</t>
  </si>
  <si>
    <t>объем, м3/час</t>
  </si>
  <si>
    <t>причина отклонения</t>
  </si>
  <si>
    <t>непредставление документов</t>
  </si>
  <si>
    <t>отсутствие технической</t>
  </si>
  <si>
    <t>возможности</t>
  </si>
  <si>
    <t>в объектах газотранспортной организации</t>
  </si>
  <si>
    <t>в сетях исполнителя</t>
  </si>
  <si>
    <t>в технологически связанных с сетью газораспределения исполнителя сетях газораспределения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</si>
  <si>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</si>
  <si>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</si>
  <si>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</si>
  <si>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</si>
  <si>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</si>
  <si>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</si>
  <si>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</si>
  <si>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</si>
  <si>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</si>
  <si>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</si>
  <si>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12</t>
  </si>
  <si>
    <t>13</t>
  </si>
  <si>
    <t>1 категория</t>
  </si>
  <si>
    <t>физическое лицо</t>
  </si>
  <si>
    <t>плата</t>
  </si>
  <si>
    <t>стандартизированные ставки</t>
  </si>
  <si>
    <t>юридическое лицо</t>
  </si>
  <si>
    <t>2 категория</t>
  </si>
  <si>
    <t>3 категория</t>
  </si>
  <si>
    <t>индивидуальный проект</t>
  </si>
  <si>
    <t>максимальный часовой расход газа более 500 мЗ и давление свыше 0,6 МПа</t>
  </si>
  <si>
    <t>проведение лесоустроительных работ</t>
  </si>
  <si>
    <t>11</t>
  </si>
  <si>
    <t>врезка в газопроводы диаметром более 250 мм под давлением не менее 0,3 МПа</t>
  </si>
  <si>
    <t>переход через водные преграды</t>
  </si>
  <si>
    <t>прокладка газопроводов по болотам, в скальных породах, охраняемых территориях</t>
  </si>
  <si>
    <t>14</t>
  </si>
  <si>
    <t>прокладка газопровода длиной более 30 м и диаметром более 158 мм бестраншейным способом</t>
  </si>
  <si>
    <t>15</t>
  </si>
  <si>
    <t>Итого:</t>
  </si>
  <si>
    <t>Количество отклоненных заявок</t>
  </si>
  <si>
    <t>Информация о регистрации и ходе реализации запросов о предоставлении технических условий на подключение (технологическое присоединение) к газораспределительным сетям ООО "Газпром газораспределение Владикавказ"за январь 2019г.</t>
  </si>
  <si>
    <t>Информация о регистрации и ходе реализации заявок о подключении (технологическом присоединении) к газораспределительным сетям  
ООО "Газпром газораспределение Владикавказ" за январь 2019г.</t>
  </si>
  <si>
    <t>Информация о регистрации и ходе реализации запросов о предоставлении технических условий на подключение (технологическое присоединение) к газораспределительным сетям ООО "Газпром газораспределение Владикавказ"за март 2019г</t>
  </si>
  <si>
    <t>Информация о регистрации и ходе реализации заявок о подключении (технологическом присоединении) к газораспределительным сетям  
ООО "Газпром газораспределение Владикавказ" за март 2019г</t>
  </si>
  <si>
    <t>Информация о регистрации и ходе реализации запросов о предоставлении технических условий на подключение (технологическое присоединение) к газораспределительным сетям ООО "Газпром газораспределение Владикавказ"за февраль 2019г.</t>
  </si>
  <si>
    <t>Информация о регистрации и ходе реализации заявок о подключении (технологическом присоединении) к газораспределительным сетям  
ООО "Газпром газораспределение Владикавказ" за февраль 2019г.</t>
  </si>
  <si>
    <t>Форма 3</t>
  </si>
  <si>
    <t>Информация о регистрации и ходе реализации запросов о предоставлении технических условий на подключение (технологическое присоединение) к газораспределительным сетям ООО "Газпром газораспределение Владикавказ"за апрель 2019г</t>
  </si>
  <si>
    <t>Информация о регистрации и ходе реализации заявок о подключении (технологическом присоединении) к газораспределительным сетям  
ООО "Газпром газораспределение Владикавказ" за апрель 2019г</t>
  </si>
  <si>
    <t>Информация о регистрации и ходе реализации запросов о предоставлении технических условий на подключение (технологическое присоединение) к газораспределительным сетям ООО "Газпром газораспределение Владикавказ"за май 2019г</t>
  </si>
  <si>
    <t>Информация о регистрации и ходе реализации заявок о подключении (технологическом присоединении) к газораспределительным сетям  
ООО "Газпром газораспределение Владикавказ" за май 2019г</t>
  </si>
  <si>
    <t>Информация о регистрации и ходе реализации запросов о предоставлении технических условий на подключение (технологическое присоединение) к газораспределительным сетям ООО "Газпром газораспределение Владикавказ"за июнь 2019г</t>
  </si>
  <si>
    <t>Информация о регистрации и ходе реализации заявок о подключении (технологическом присоединении) к газораспределительным сетям  
ООО "Газпром газораспределение Владикавказ" за июнь 2019г</t>
  </si>
  <si>
    <t>Информация о регистрации и ходе реализации запросов о предоставлении технических условий на подключение (технологическое присоединение) к газораспределительным сетям ООО "Газпром газораспределение Владикавказ"за июль 2019г</t>
  </si>
  <si>
    <t>Информация о регистрации и ходе реализации заявок о подключении (технологическом присоединении) к газораспределительным сетям  
ООО "Газпром газораспределение Владикавказ" за июль 2019г</t>
  </si>
  <si>
    <t>Информация о регистрации и ходе реализации запросов о предоставлении технических условий на подключение (технологическое присоединение) к газораспределительным сетям ООО "Газпром газораспределение Владикавказ"за август 2019г</t>
  </si>
  <si>
    <t>Информация о регистрации и ходе реализации заявок о подключении (технологическом присоединении) к газораспределительным сетям  
ООО "Газпром газораспределение Владикавказ" за август 2019г</t>
  </si>
  <si>
    <t>Информация о регистрации и ходе реализации запросов о предоставлении технических условий на подключение (технологическое присоединение) к газораспределительным сетям ООО "Газпром газораспределение Владикавказ"за сентябрь 2019г</t>
  </si>
  <si>
    <t>Информация о регистрации и ходе реализации заявок о подключении (технологическом присоединении) к газораспределительным сетям  
ООО "Газпром газораспределение Владикавказ" за сентябрь 2019г</t>
  </si>
  <si>
    <t>Информация о регистрации и ходе реализации запросов о предоставлении технических условий на подключение (технологическое присоединение) к газораспределительным сетям ООО "Газпром газораспределение Владикавказ" за октябрь 2019г</t>
  </si>
  <si>
    <t>Информация о регистрации и ходе реализации заявок о подключении (технологическом присоединении) к газораспределительным сетям  
ООО "Газпром газораспределение Владикавказ" за октябрь 2019г</t>
  </si>
  <si>
    <t>I</t>
  </si>
  <si>
    <t>Информация о регистрации и ходе реализации запросов о предоставлении технических условий на подключение (технологическое присоединение) к газораспределительным сетям ООО "Газпром газораспределение Владикавказ" за ноябрь 2019г</t>
  </si>
  <si>
    <t>Информация о регистрации и ходе реализации заявок о подключении (технологическом присоединении) к газораспределительным сетям  
ООО "Газпром газораспределение Владикавказ" за ноябрь 2019г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</si>
</sst>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</font>
    <font>
      <b/>
      <sz val="14"/>
      <name val="Times New Roman"/>
      <family val="1"/>
      <charset val="204"/>
    </font>
    <font>
      <b/>
      <vertAlign val="superscript"/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0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wrapText="1"/>
    </xf>
    <xf numFmtId="0" fontId="5" fillId="0" borderId="0" xfId="0" applyFont="1"/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2" xfId="0" applyFont="1" applyBorder="1" applyAlignment="1">
      <alignment vertical="top"/>
    </xf>
    <xf numFmtId="0" fontId="4" fillId="0" borderId="3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justify" vertical="top" wrapText="1"/>
    </xf>
    <xf numFmtId="0" fontId="4" fillId="0" borderId="3" xfId="0" applyFont="1" applyBorder="1" applyAlignment="1">
      <alignment horizontal="left" vertical="top"/>
    </xf>
    <xf numFmtId="0" fontId="4" fillId="0" borderId="3" xfId="0" applyFont="1" applyBorder="1" applyAlignment="1">
      <alignment horizontal="center" vertical="top"/>
    </xf>
    <xf numFmtId="0" fontId="4" fillId="0" borderId="3" xfId="0" applyFont="1" applyBorder="1" applyAlignment="1">
      <alignment horizontal="justify" vertical="top"/>
    </xf>
    <xf numFmtId="0" fontId="4" fillId="0" borderId="3" xfId="0" applyFont="1" applyBorder="1" applyAlignment="1">
      <alignment horizontal="left" vertical="top" indent="1"/>
    </xf>
    <xf numFmtId="0" fontId="4" fillId="0" borderId="3" xfId="0" applyFont="1" applyBorder="1" applyAlignment="1">
      <alignment horizontal="right" vertical="top"/>
    </xf>
    <xf numFmtId="0" fontId="1" fillId="0" borderId="3" xfId="0" applyFont="1" applyBorder="1" applyAlignment="1">
      <alignment horizontal="left" vertical="top"/>
    </xf>
    <xf numFmtId="0" fontId="1" fillId="0" borderId="3" xfId="0" applyFont="1" applyBorder="1" applyAlignment="1">
      <alignment horizontal="justify" vertical="top"/>
    </xf>
    <xf numFmtId="0" fontId="1" fillId="0" borderId="3" xfId="0" applyFont="1" applyBorder="1" applyAlignment="1">
      <alignment horizontal="justify" vertical="top" wrapText="1"/>
    </xf>
    <xf numFmtId="0" fontId="1" fillId="0" borderId="3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top"/>
    </xf>
    <xf numFmtId="0" fontId="4" fillId="0" borderId="3" xfId="0" applyFont="1" applyBorder="1" applyAlignment="1">
      <alignment horizontal="justify" vertical="top" wrapText="1"/>
    </xf>
    <xf numFmtId="0" fontId="4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/>
    </xf>
    <xf numFmtId="0" fontId="4" fillId="0" borderId="3" xfId="0" applyFont="1" applyBorder="1" applyAlignment="1">
      <alignment horizontal="center" vertical="top"/>
    </xf>
    <xf numFmtId="0" fontId="1" fillId="0" borderId="2" xfId="0" applyFont="1" applyBorder="1" applyAlignment="1">
      <alignment vertical="top"/>
    </xf>
    <xf numFmtId="0" fontId="1" fillId="0" borderId="3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top"/>
    </xf>
    <xf numFmtId="0" fontId="4" fillId="0" borderId="3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justify" vertical="top" wrapText="1"/>
    </xf>
    <xf numFmtId="0" fontId="1" fillId="0" borderId="3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top"/>
    </xf>
    <xf numFmtId="0" fontId="4" fillId="0" borderId="3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justify" vertical="top" wrapText="1"/>
    </xf>
    <xf numFmtId="0" fontId="4" fillId="0" borderId="3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top"/>
    </xf>
    <xf numFmtId="0" fontId="4" fillId="0" borderId="3" xfId="0" applyFont="1" applyBorder="1" applyAlignment="1">
      <alignment horizontal="justify" vertical="top" wrapText="1"/>
    </xf>
    <xf numFmtId="0" fontId="4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top"/>
    </xf>
    <xf numFmtId="0" fontId="4" fillId="0" borderId="3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justify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top"/>
    </xf>
    <xf numFmtId="0" fontId="4" fillId="0" borderId="3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justify" vertical="top" wrapText="1"/>
    </xf>
    <xf numFmtId="0" fontId="1" fillId="0" borderId="3" xfId="0" applyFont="1" applyBorder="1" applyAlignment="1">
      <alignment horizontal="justify" vertical="top" wrapText="1"/>
    </xf>
    <xf numFmtId="0" fontId="1" fillId="0" borderId="3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justify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0" xfId="0" applyFont="1"/>
    <xf numFmtId="0" fontId="1" fillId="0" borderId="3" xfId="0" applyFont="1" applyBorder="1" applyAlignment="1">
      <alignment horizontal="justify" vertical="center"/>
    </xf>
    <xf numFmtId="0" fontId="1" fillId="0" borderId="3" xfId="0" applyFont="1" applyBorder="1" applyAlignment="1">
      <alignment horizontal="justify" vertical="center" wrapText="1"/>
    </xf>
    <xf numFmtId="0" fontId="4" fillId="0" borderId="3" xfId="0" applyFont="1" applyBorder="1" applyAlignment="1">
      <alignment horizontal="justify" vertical="center" wrapText="1"/>
    </xf>
    <xf numFmtId="0" fontId="1" fillId="0" borderId="3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justify" vertical="top" wrapText="1"/>
    </xf>
    <xf numFmtId="0" fontId="4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top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top"/>
    </xf>
    <xf numFmtId="0" fontId="4" fillId="0" borderId="3" xfId="0" applyFont="1" applyBorder="1" applyAlignment="1">
      <alignment horizontal="justify" vertical="top" wrapText="1"/>
    </xf>
    <xf numFmtId="0" fontId="4" fillId="0" borderId="3" xfId="0" applyFont="1" applyBorder="1" applyAlignment="1">
      <alignment horizontal="center" vertical="center" textRotation="90"/>
    </xf>
    <xf numFmtId="0" fontId="4" fillId="0" borderId="3" xfId="0" applyFont="1" applyBorder="1" applyAlignment="1">
      <alignment horizontal="center" vertical="center" textRotation="90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top" indent="11"/>
    </xf>
    <xf numFmtId="0" fontId="1" fillId="0" borderId="3" xfId="0" applyFont="1" applyBorder="1" applyAlignment="1">
      <alignment horizontal="center" vertical="center" textRotation="90"/>
    </xf>
    <xf numFmtId="0" fontId="1" fillId="0" borderId="3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/>
    </xf>
    <xf numFmtId="0" fontId="1" fillId="0" borderId="3" xfId="0" applyFont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justify" vertical="top" wrapText="1"/>
    </xf>
    <xf numFmtId="0" fontId="1" fillId="0" borderId="3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6"/>
  <sheetViews>
    <sheetView zoomScale="70" zoomScaleNormal="70" workbookViewId="0">
      <selection activeCell="B16" sqref="B16:D16"/>
    </sheetView>
  </sheetViews>
  <sheetFormatPr defaultRowHeight="12.75" x14ac:dyDescent="0.2"/>
  <cols>
    <col min="1" max="1" width="4.5703125" style="4" customWidth="1"/>
    <col min="2" max="2" width="18" style="4" customWidth="1"/>
    <col min="3" max="3" width="18.28515625" style="4" customWidth="1"/>
    <col min="4" max="4" width="28.85546875" style="4" customWidth="1"/>
    <col min="5" max="5" width="15.5703125" style="5" customWidth="1"/>
    <col min="6" max="6" width="9.5703125" style="5" customWidth="1"/>
    <col min="7" max="7" width="16" style="5" customWidth="1"/>
    <col min="8" max="8" width="10.140625" style="5" customWidth="1"/>
    <col min="9" max="9" width="16" style="5" customWidth="1"/>
    <col min="10" max="10" width="9.7109375" style="5" customWidth="1"/>
    <col min="11" max="11" width="16.85546875" style="5" customWidth="1"/>
    <col min="12" max="12" width="21.5703125" style="5" customWidth="1"/>
    <col min="13" max="13" width="21.42578125" style="5" customWidth="1"/>
    <col min="14" max="15" width="9.140625" style="4"/>
    <col min="16" max="16" width="9.42578125" style="4" bestFit="1" customWidth="1"/>
    <col min="17" max="16384" width="9.140625" style="4"/>
  </cols>
  <sheetData>
    <row r="1" spans="1:13" s="1" customFormat="1" ht="39.75" customHeight="1" x14ac:dyDescent="0.3">
      <c r="A1" s="111" t="s">
        <v>80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</row>
    <row r="2" spans="1:13" s="1" customFormat="1" ht="18.75" x14ac:dyDescent="0.3">
      <c r="E2" s="2"/>
      <c r="F2" s="2"/>
      <c r="G2" s="2"/>
      <c r="H2" s="2"/>
      <c r="I2" s="2"/>
      <c r="J2" s="2"/>
      <c r="K2" s="2"/>
      <c r="L2" s="2"/>
      <c r="M2" s="2"/>
    </row>
    <row r="3" spans="1:13" s="3" customFormat="1" ht="75" customHeight="1" x14ac:dyDescent="0.3">
      <c r="A3" s="110" t="s">
        <v>0</v>
      </c>
      <c r="B3" s="110" t="s">
        <v>1</v>
      </c>
      <c r="C3" s="110"/>
      <c r="D3" s="110"/>
      <c r="E3" s="113" t="s">
        <v>2</v>
      </c>
      <c r="F3" s="113"/>
      <c r="G3" s="113" t="s">
        <v>3</v>
      </c>
      <c r="H3" s="113"/>
      <c r="I3" s="113" t="s">
        <v>4</v>
      </c>
      <c r="J3" s="113"/>
      <c r="K3" s="113"/>
      <c r="L3" s="113"/>
      <c r="M3" s="113"/>
    </row>
    <row r="4" spans="1:13" s="3" customFormat="1" ht="18.75" x14ac:dyDescent="0.3">
      <c r="A4" s="110"/>
      <c r="B4" s="110"/>
      <c r="C4" s="110"/>
      <c r="D4" s="110"/>
      <c r="E4" s="113" t="s">
        <v>5</v>
      </c>
      <c r="F4" s="113" t="s">
        <v>6</v>
      </c>
      <c r="G4" s="113" t="s">
        <v>5</v>
      </c>
      <c r="H4" s="113" t="s">
        <v>6</v>
      </c>
      <c r="I4" s="113" t="s">
        <v>5</v>
      </c>
      <c r="J4" s="113" t="s">
        <v>6</v>
      </c>
      <c r="K4" s="114" t="s">
        <v>34</v>
      </c>
      <c r="L4" s="113"/>
      <c r="M4" s="113"/>
    </row>
    <row r="5" spans="1:13" s="3" customFormat="1" ht="57" customHeight="1" x14ac:dyDescent="0.3">
      <c r="A5" s="110"/>
      <c r="B5" s="110"/>
      <c r="C5" s="110"/>
      <c r="D5" s="110"/>
      <c r="E5" s="113"/>
      <c r="F5" s="113"/>
      <c r="G5" s="113"/>
      <c r="H5" s="113"/>
      <c r="I5" s="113"/>
      <c r="J5" s="113"/>
      <c r="K5" s="24" t="s">
        <v>7</v>
      </c>
      <c r="L5" s="24" t="s">
        <v>8</v>
      </c>
      <c r="M5" s="24" t="s">
        <v>9</v>
      </c>
    </row>
    <row r="6" spans="1:13" s="3" customFormat="1" ht="18.75" x14ac:dyDescent="0.3">
      <c r="A6" s="110"/>
      <c r="B6" s="110" t="s">
        <v>10</v>
      </c>
      <c r="C6" s="110"/>
      <c r="D6" s="110"/>
      <c r="E6" s="24" t="s">
        <v>11</v>
      </c>
      <c r="F6" s="24" t="s">
        <v>12</v>
      </c>
      <c r="G6" s="24" t="s">
        <v>13</v>
      </c>
      <c r="H6" s="24" t="s">
        <v>14</v>
      </c>
      <c r="I6" s="24" t="s">
        <v>15</v>
      </c>
      <c r="J6" s="24" t="s">
        <v>16</v>
      </c>
      <c r="K6" s="24" t="s">
        <v>17</v>
      </c>
      <c r="L6" s="24" t="s">
        <v>18</v>
      </c>
      <c r="M6" s="24" t="s">
        <v>19</v>
      </c>
    </row>
    <row r="7" spans="1:13" s="3" customFormat="1" ht="18.75" x14ac:dyDescent="0.3">
      <c r="A7" s="23" t="s">
        <v>20</v>
      </c>
      <c r="B7" s="110" t="s">
        <v>21</v>
      </c>
      <c r="C7" s="110"/>
      <c r="D7" s="110"/>
      <c r="E7" s="28"/>
      <c r="F7" s="28"/>
      <c r="G7" s="28"/>
      <c r="H7" s="28"/>
      <c r="I7" s="28"/>
      <c r="J7" s="28"/>
      <c r="K7" s="28"/>
      <c r="L7" s="28"/>
      <c r="M7" s="28"/>
    </row>
    <row r="8" spans="1:13" s="3" customFormat="1" ht="18.75" x14ac:dyDescent="0.3">
      <c r="A8" s="23" t="s">
        <v>11</v>
      </c>
      <c r="B8" s="110" t="s">
        <v>22</v>
      </c>
      <c r="C8" s="110" t="s">
        <v>23</v>
      </c>
      <c r="D8" s="27" t="s">
        <v>24</v>
      </c>
      <c r="E8" s="28">
        <f>4+3+18+6+3</f>
        <v>34</v>
      </c>
      <c r="F8" s="28">
        <f>20+15+85.5+34.78+4.8</f>
        <v>160.08000000000001</v>
      </c>
      <c r="G8" s="28">
        <f>5+3+18+6+3</f>
        <v>35</v>
      </c>
      <c r="H8" s="28">
        <f>40.13+15+85.5+34.78+4.8</f>
        <v>180.21</v>
      </c>
      <c r="I8" s="28"/>
      <c r="J8" s="28"/>
      <c r="K8" s="28"/>
      <c r="L8" s="28"/>
      <c r="M8" s="28"/>
    </row>
    <row r="9" spans="1:13" s="3" customFormat="1" ht="37.5" x14ac:dyDescent="0.3">
      <c r="A9" s="23" t="s">
        <v>12</v>
      </c>
      <c r="B9" s="110"/>
      <c r="C9" s="110"/>
      <c r="D9" s="27" t="s">
        <v>25</v>
      </c>
      <c r="E9" s="28">
        <f>23+4</f>
        <v>27</v>
      </c>
      <c r="F9" s="28">
        <f>101.2+20</f>
        <v>121.2</v>
      </c>
      <c r="G9" s="28">
        <f>12+4</f>
        <v>16</v>
      </c>
      <c r="H9" s="28">
        <f>52.8+20</f>
        <v>72.8</v>
      </c>
      <c r="I9" s="28">
        <f>4</f>
        <v>4</v>
      </c>
      <c r="J9" s="28">
        <f>17.6</f>
        <v>17.600000000000001</v>
      </c>
      <c r="K9" s="28"/>
      <c r="L9" s="28"/>
      <c r="M9" s="28">
        <v>4</v>
      </c>
    </row>
    <row r="10" spans="1:13" s="3" customFormat="1" ht="18.75" x14ac:dyDescent="0.3">
      <c r="A10" s="23" t="s">
        <v>13</v>
      </c>
      <c r="B10" s="110"/>
      <c r="C10" s="110" t="s">
        <v>26</v>
      </c>
      <c r="D10" s="27" t="s">
        <v>24</v>
      </c>
      <c r="E10" s="28">
        <f>1</f>
        <v>1</v>
      </c>
      <c r="F10" s="28">
        <f>5.16</f>
        <v>5.16</v>
      </c>
      <c r="G10" s="28">
        <f>1</f>
        <v>1</v>
      </c>
      <c r="H10" s="28">
        <f>5.16</f>
        <v>5.16</v>
      </c>
      <c r="I10" s="28"/>
      <c r="J10" s="28"/>
      <c r="K10" s="28"/>
      <c r="L10" s="28"/>
      <c r="M10" s="28"/>
    </row>
    <row r="11" spans="1:13" s="3" customFormat="1" ht="37.5" x14ac:dyDescent="0.3">
      <c r="A11" s="23" t="s">
        <v>14</v>
      </c>
      <c r="B11" s="110"/>
      <c r="C11" s="110"/>
      <c r="D11" s="27" t="s">
        <v>25</v>
      </c>
      <c r="E11" s="28">
        <f>3+4</f>
        <v>7</v>
      </c>
      <c r="F11" s="28">
        <f>88.7</f>
        <v>88.7</v>
      </c>
      <c r="G11" s="28">
        <f>4</f>
        <v>4</v>
      </c>
      <c r="H11" s="28">
        <v>88.7</v>
      </c>
      <c r="I11" s="28"/>
      <c r="J11" s="28"/>
      <c r="K11" s="28"/>
      <c r="L11" s="28"/>
      <c r="M11" s="28"/>
    </row>
    <row r="12" spans="1:13" s="3" customFormat="1" ht="37.5" x14ac:dyDescent="0.3">
      <c r="A12" s="23" t="s">
        <v>15</v>
      </c>
      <c r="B12" s="110" t="s">
        <v>27</v>
      </c>
      <c r="C12" s="23" t="s">
        <v>23</v>
      </c>
      <c r="D12" s="27" t="s">
        <v>25</v>
      </c>
      <c r="E12" s="28"/>
      <c r="F12" s="28"/>
      <c r="G12" s="28"/>
      <c r="H12" s="28"/>
      <c r="I12" s="28"/>
      <c r="J12" s="28"/>
      <c r="K12" s="28"/>
      <c r="L12" s="28"/>
      <c r="M12" s="28"/>
    </row>
    <row r="13" spans="1:13" s="3" customFormat="1" ht="37.5" x14ac:dyDescent="0.3">
      <c r="A13" s="23" t="s">
        <v>16</v>
      </c>
      <c r="B13" s="110"/>
      <c r="C13" s="23" t="s">
        <v>26</v>
      </c>
      <c r="D13" s="27" t="s">
        <v>25</v>
      </c>
      <c r="E13" s="28">
        <f>3+1</f>
        <v>4</v>
      </c>
      <c r="F13" s="28">
        <f>314+280.5</f>
        <v>594.5</v>
      </c>
      <c r="G13" s="28">
        <f>1</f>
        <v>1</v>
      </c>
      <c r="H13" s="28">
        <f>280.5</f>
        <v>280.5</v>
      </c>
      <c r="I13" s="28"/>
      <c r="J13" s="28"/>
      <c r="K13" s="28"/>
      <c r="L13" s="28"/>
      <c r="M13" s="28"/>
    </row>
    <row r="14" spans="1:13" s="3" customFormat="1" ht="37.5" x14ac:dyDescent="0.3">
      <c r="A14" s="23">
        <v>8</v>
      </c>
      <c r="B14" s="110" t="s">
        <v>28</v>
      </c>
      <c r="C14" s="23" t="s">
        <v>23</v>
      </c>
      <c r="D14" s="27" t="s">
        <v>25</v>
      </c>
      <c r="E14" s="28"/>
      <c r="F14" s="28"/>
      <c r="G14" s="28"/>
      <c r="H14" s="28"/>
      <c r="I14" s="28"/>
      <c r="J14" s="28"/>
      <c r="K14" s="28"/>
      <c r="L14" s="28"/>
      <c r="M14" s="28"/>
    </row>
    <row r="15" spans="1:13" s="3" customFormat="1" ht="37.5" x14ac:dyDescent="0.3">
      <c r="A15" s="23" t="s">
        <v>18</v>
      </c>
      <c r="B15" s="110"/>
      <c r="C15" s="23" t="s">
        <v>26</v>
      </c>
      <c r="D15" s="27" t="s">
        <v>25</v>
      </c>
      <c r="E15" s="28"/>
      <c r="F15" s="28"/>
      <c r="G15" s="28">
        <f>1</f>
        <v>1</v>
      </c>
      <c r="H15" s="28">
        <f>1644</f>
        <v>1644</v>
      </c>
      <c r="I15" s="28"/>
      <c r="J15" s="28"/>
      <c r="K15" s="28"/>
      <c r="L15" s="28"/>
      <c r="M15" s="28"/>
    </row>
    <row r="16" spans="1:13" s="3" customFormat="1" ht="18.75" x14ac:dyDescent="0.3">
      <c r="A16" s="23" t="s">
        <v>19</v>
      </c>
      <c r="B16" s="110" t="s">
        <v>29</v>
      </c>
      <c r="C16" s="110"/>
      <c r="D16" s="110"/>
      <c r="E16" s="28"/>
      <c r="F16" s="28"/>
      <c r="G16" s="28"/>
      <c r="H16" s="28"/>
      <c r="I16" s="28"/>
      <c r="J16" s="28"/>
      <c r="K16" s="28"/>
      <c r="L16" s="28"/>
      <c r="M16" s="28"/>
    </row>
    <row r="17" spans="1:16" s="3" customFormat="1" ht="18.75" x14ac:dyDescent="0.3">
      <c r="A17" s="23" t="s">
        <v>30</v>
      </c>
      <c r="B17" s="110" t="s">
        <v>31</v>
      </c>
      <c r="C17" s="110"/>
      <c r="D17" s="110"/>
      <c r="E17" s="28">
        <f>E8+E9+E10+E11+E12+E13+E14+E15+E16</f>
        <v>73</v>
      </c>
      <c r="F17" s="28">
        <f t="shared" ref="F17:M17" si="0">F8+F9+F10+F11+F12+F13+F14+F15+F16</f>
        <v>969.6400000000001</v>
      </c>
      <c r="G17" s="28">
        <f t="shared" si="0"/>
        <v>58</v>
      </c>
      <c r="H17" s="28">
        <f t="shared" si="0"/>
        <v>2271.37</v>
      </c>
      <c r="I17" s="28">
        <f t="shared" si="0"/>
        <v>4</v>
      </c>
      <c r="J17" s="28">
        <f t="shared" si="0"/>
        <v>17.600000000000001</v>
      </c>
      <c r="K17" s="28">
        <f t="shared" si="0"/>
        <v>0</v>
      </c>
      <c r="L17" s="28">
        <f t="shared" si="0"/>
        <v>0</v>
      </c>
      <c r="M17" s="28">
        <f t="shared" si="0"/>
        <v>4</v>
      </c>
    </row>
    <row r="18" spans="1:16" s="3" customFormat="1" ht="18.75" x14ac:dyDescent="0.3">
      <c r="A18" s="23" t="s">
        <v>32</v>
      </c>
      <c r="B18" s="110" t="s">
        <v>33</v>
      </c>
      <c r="C18" s="110"/>
      <c r="D18" s="110"/>
      <c r="E18" s="28"/>
      <c r="F18" s="28"/>
      <c r="G18" s="28"/>
      <c r="H18" s="28"/>
      <c r="I18" s="28"/>
      <c r="J18" s="28"/>
      <c r="K18" s="28"/>
      <c r="L18" s="28"/>
      <c r="M18" s="28"/>
    </row>
    <row r="21" spans="1:16" customFormat="1" x14ac:dyDescent="0.2">
      <c r="E21" s="6"/>
      <c r="F21" s="6"/>
      <c r="G21" s="6"/>
      <c r="H21" s="6"/>
      <c r="I21" s="6"/>
      <c r="J21" s="6"/>
      <c r="K21" s="6"/>
      <c r="L21" s="6"/>
      <c r="M21" s="6"/>
    </row>
    <row r="22" spans="1:16" s="1" customFormat="1" ht="18.75" x14ac:dyDescent="0.3">
      <c r="A22" s="7" t="s">
        <v>35</v>
      </c>
      <c r="E22" s="2"/>
      <c r="F22" s="2"/>
      <c r="G22" s="2"/>
      <c r="H22" s="2"/>
      <c r="I22" s="2"/>
      <c r="J22" s="2"/>
      <c r="K22" s="2"/>
      <c r="L22" s="2"/>
      <c r="M22" s="2"/>
    </row>
    <row r="23" spans="1:16" s="1" customFormat="1" ht="18.75" x14ac:dyDescent="0.3">
      <c r="E23" s="2"/>
      <c r="F23" s="2"/>
      <c r="G23" s="2"/>
      <c r="H23" s="2"/>
      <c r="I23" s="2"/>
      <c r="J23" s="2"/>
      <c r="K23" s="2"/>
      <c r="L23" s="2"/>
      <c r="M23" s="2"/>
    </row>
    <row r="24" spans="1:16" s="1" customFormat="1" ht="36.75" customHeight="1" x14ac:dyDescent="0.3">
      <c r="A24" s="111" t="s">
        <v>81</v>
      </c>
      <c r="B24" s="112"/>
      <c r="C24" s="112"/>
      <c r="D24" s="112"/>
      <c r="E24" s="112"/>
      <c r="F24" s="112"/>
      <c r="G24" s="112"/>
      <c r="H24" s="112"/>
      <c r="I24" s="112"/>
      <c r="J24" s="112"/>
      <c r="K24" s="112"/>
      <c r="L24" s="112"/>
      <c r="M24" s="112"/>
      <c r="N24" s="112"/>
      <c r="O24" s="112"/>
      <c r="P24" s="112"/>
    </row>
    <row r="25" spans="1:16" s="1" customFormat="1" ht="18.75" x14ac:dyDescent="0.3">
      <c r="E25" s="2"/>
      <c r="F25" s="2"/>
      <c r="G25" s="2"/>
      <c r="H25" s="2"/>
      <c r="I25" s="2"/>
      <c r="J25" s="2"/>
      <c r="K25" s="2"/>
      <c r="L25" s="2"/>
      <c r="M25" s="2"/>
    </row>
    <row r="26" spans="1:16" s="1" customFormat="1" ht="56.25" customHeight="1" x14ac:dyDescent="0.3">
      <c r="A26" s="11"/>
      <c r="B26" s="115" t="s">
        <v>36</v>
      </c>
      <c r="C26" s="115"/>
      <c r="D26" s="115"/>
      <c r="E26" s="113" t="s">
        <v>37</v>
      </c>
      <c r="F26" s="113"/>
      <c r="G26" s="116" t="s">
        <v>79</v>
      </c>
      <c r="H26" s="116"/>
      <c r="I26" s="116"/>
      <c r="J26" s="116"/>
      <c r="K26" s="116"/>
      <c r="L26" s="116"/>
      <c r="M26" s="117" t="s">
        <v>38</v>
      </c>
      <c r="N26" s="117"/>
      <c r="O26" s="117" t="s">
        <v>39</v>
      </c>
      <c r="P26" s="117"/>
    </row>
    <row r="27" spans="1:16" s="1" customFormat="1" ht="20.25" customHeight="1" x14ac:dyDescent="0.3">
      <c r="A27" s="11"/>
      <c r="B27" s="115"/>
      <c r="C27" s="115"/>
      <c r="D27" s="115"/>
      <c r="E27" s="118" t="s">
        <v>40</v>
      </c>
      <c r="F27" s="119" t="s">
        <v>41</v>
      </c>
      <c r="G27" s="118" t="s">
        <v>40</v>
      </c>
      <c r="H27" s="119" t="s">
        <v>41</v>
      </c>
      <c r="I27" s="116" t="s">
        <v>42</v>
      </c>
      <c r="J27" s="116"/>
      <c r="K27" s="116"/>
      <c r="L27" s="116"/>
      <c r="M27" s="118" t="s">
        <v>40</v>
      </c>
      <c r="N27" s="119" t="s">
        <v>41</v>
      </c>
      <c r="O27" s="118" t="s">
        <v>40</v>
      </c>
      <c r="P27" s="119" t="s">
        <v>41</v>
      </c>
    </row>
    <row r="28" spans="1:16" s="1" customFormat="1" ht="18.75" x14ac:dyDescent="0.3">
      <c r="A28" s="11"/>
      <c r="B28" s="115"/>
      <c r="C28" s="115"/>
      <c r="D28" s="115"/>
      <c r="E28" s="118"/>
      <c r="F28" s="119"/>
      <c r="G28" s="118"/>
      <c r="H28" s="119"/>
      <c r="I28" s="120" t="s">
        <v>43</v>
      </c>
      <c r="J28" s="116" t="s">
        <v>44</v>
      </c>
      <c r="K28" s="116"/>
      <c r="L28" s="26" t="s">
        <v>45</v>
      </c>
      <c r="M28" s="118"/>
      <c r="N28" s="119"/>
      <c r="O28" s="118"/>
      <c r="P28" s="119"/>
    </row>
    <row r="29" spans="1:16" s="1" customFormat="1" ht="96" customHeight="1" x14ac:dyDescent="0.3">
      <c r="A29" s="11" t="s">
        <v>0</v>
      </c>
      <c r="B29" s="115"/>
      <c r="C29" s="115"/>
      <c r="D29" s="115"/>
      <c r="E29" s="118"/>
      <c r="F29" s="119"/>
      <c r="G29" s="118"/>
      <c r="H29" s="119"/>
      <c r="I29" s="120"/>
      <c r="J29" s="24" t="s">
        <v>46</v>
      </c>
      <c r="K29" s="24" t="s">
        <v>47</v>
      </c>
      <c r="L29" s="24" t="s">
        <v>48</v>
      </c>
      <c r="M29" s="118"/>
      <c r="N29" s="119"/>
      <c r="O29" s="118"/>
      <c r="P29" s="119"/>
    </row>
    <row r="30" spans="1:16" s="1" customFormat="1" ht="18.75" x14ac:dyDescent="0.3">
      <c r="A30" s="11"/>
      <c r="B30" s="121" t="s">
        <v>49</v>
      </c>
      <c r="C30" s="121"/>
      <c r="D30" s="121"/>
      <c r="E30" s="26" t="s">
        <v>50</v>
      </c>
      <c r="F30" s="26" t="s">
        <v>51</v>
      </c>
      <c r="G30" s="26" t="s">
        <v>52</v>
      </c>
      <c r="H30" s="26" t="s">
        <v>53</v>
      </c>
      <c r="I30" s="26" t="s">
        <v>54</v>
      </c>
      <c r="J30" s="26" t="s">
        <v>55</v>
      </c>
      <c r="K30" s="26" t="s">
        <v>56</v>
      </c>
      <c r="L30" s="26" t="s">
        <v>57</v>
      </c>
      <c r="M30" s="26" t="s">
        <v>58</v>
      </c>
      <c r="N30" s="13">
        <v>11</v>
      </c>
      <c r="O30" s="14" t="s">
        <v>59</v>
      </c>
      <c r="P30" s="15" t="s">
        <v>60</v>
      </c>
    </row>
    <row r="31" spans="1:16" s="1" customFormat="1" ht="18.75" x14ac:dyDescent="0.3">
      <c r="A31" s="30" t="s">
        <v>49</v>
      </c>
      <c r="B31" s="122" t="s">
        <v>61</v>
      </c>
      <c r="C31" s="123" t="s">
        <v>62</v>
      </c>
      <c r="D31" s="17" t="s">
        <v>63</v>
      </c>
      <c r="E31" s="28">
        <f>18+3+2+3+4</f>
        <v>30</v>
      </c>
      <c r="F31" s="28">
        <f>85.5+15+10+13.87+6.4</f>
        <v>130.77000000000001</v>
      </c>
      <c r="G31" s="25"/>
      <c r="H31" s="25"/>
      <c r="I31" s="25"/>
      <c r="J31" s="25"/>
      <c r="K31" s="25"/>
      <c r="L31" s="25"/>
      <c r="M31" s="28">
        <f>18+2+3+4</f>
        <v>27</v>
      </c>
      <c r="N31" s="28">
        <f>85.5+10+13.87+6.4</f>
        <v>115.77000000000001</v>
      </c>
      <c r="O31" s="28">
        <f>18+3+3+3</f>
        <v>27</v>
      </c>
      <c r="P31" s="28">
        <f>85.5+15+12.22+4.8</f>
        <v>117.52</v>
      </c>
    </row>
    <row r="32" spans="1:16" s="1" customFormat="1" ht="37.5" x14ac:dyDescent="0.3">
      <c r="A32" s="30" t="s">
        <v>50</v>
      </c>
      <c r="B32" s="122"/>
      <c r="C32" s="123"/>
      <c r="D32" s="18" t="s">
        <v>64</v>
      </c>
      <c r="E32" s="25">
        <f>10+3</f>
        <v>13</v>
      </c>
      <c r="F32" s="25">
        <f>44+7.94</f>
        <v>51.94</v>
      </c>
      <c r="G32" s="25">
        <f>6</f>
        <v>6</v>
      </c>
      <c r="H32" s="25">
        <f>34.78</f>
        <v>34.78</v>
      </c>
      <c r="I32" s="25"/>
      <c r="J32" s="25"/>
      <c r="K32" s="25"/>
      <c r="L32" s="25"/>
      <c r="M32" s="25">
        <f>10+3</f>
        <v>13</v>
      </c>
      <c r="N32" s="25">
        <f>44+7.94</f>
        <v>51.94</v>
      </c>
      <c r="O32" s="25">
        <f>6+4</f>
        <v>10</v>
      </c>
      <c r="P32" s="25">
        <f>26.4+20.85</f>
        <v>47.25</v>
      </c>
    </row>
    <row r="33" spans="1:16" s="1" customFormat="1" ht="18.75" x14ac:dyDescent="0.3">
      <c r="A33" s="30" t="s">
        <v>51</v>
      </c>
      <c r="B33" s="122"/>
      <c r="C33" s="123" t="s">
        <v>65</v>
      </c>
      <c r="D33" s="17" t="s">
        <v>63</v>
      </c>
      <c r="E33" s="25">
        <f>1</f>
        <v>1</v>
      </c>
      <c r="F33" s="25">
        <f>5.16</f>
        <v>5.16</v>
      </c>
      <c r="G33" s="25"/>
      <c r="H33" s="25"/>
      <c r="I33" s="25"/>
      <c r="J33" s="25"/>
      <c r="K33" s="25"/>
      <c r="L33" s="25"/>
      <c r="M33" s="25">
        <f>1</f>
        <v>1</v>
      </c>
      <c r="N33" s="25">
        <f>5.16</f>
        <v>5.16</v>
      </c>
      <c r="O33" s="25">
        <f>1</f>
        <v>1</v>
      </c>
      <c r="P33" s="25">
        <f>5.16</f>
        <v>5.16</v>
      </c>
    </row>
    <row r="34" spans="1:16" s="1" customFormat="1" ht="37.5" x14ac:dyDescent="0.3">
      <c r="A34" s="30" t="s">
        <v>52</v>
      </c>
      <c r="B34" s="122"/>
      <c r="C34" s="123"/>
      <c r="D34" s="27" t="s">
        <v>25</v>
      </c>
      <c r="E34" s="25">
        <f>1</f>
        <v>1</v>
      </c>
      <c r="F34" s="25">
        <f>5.4</f>
        <v>5.4</v>
      </c>
      <c r="G34" s="25"/>
      <c r="H34" s="25"/>
      <c r="I34" s="25"/>
      <c r="J34" s="25"/>
      <c r="K34" s="25"/>
      <c r="L34" s="25"/>
      <c r="M34" s="25">
        <f>1</f>
        <v>1</v>
      </c>
      <c r="N34" s="25">
        <f>5.4</f>
        <v>5.4</v>
      </c>
      <c r="O34" s="25">
        <f>1</f>
        <v>1</v>
      </c>
      <c r="P34" s="25">
        <f>5.4</f>
        <v>5.4</v>
      </c>
    </row>
    <row r="35" spans="1:16" s="1" customFormat="1" ht="37.5" x14ac:dyDescent="0.3">
      <c r="A35" s="30" t="s">
        <v>53</v>
      </c>
      <c r="B35" s="125" t="s">
        <v>66</v>
      </c>
      <c r="C35" s="29" t="s">
        <v>62</v>
      </c>
      <c r="D35" s="27" t="s">
        <v>25</v>
      </c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</row>
    <row r="36" spans="1:16" s="1" customFormat="1" ht="51" customHeight="1" x14ac:dyDescent="0.3">
      <c r="A36" s="30" t="s">
        <v>54</v>
      </c>
      <c r="B36" s="125"/>
      <c r="C36" s="29" t="s">
        <v>65</v>
      </c>
      <c r="D36" s="27" t="s">
        <v>25</v>
      </c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</row>
    <row r="37" spans="1:16" s="1" customFormat="1" ht="51.75" customHeight="1" x14ac:dyDescent="0.3">
      <c r="A37" s="30" t="s">
        <v>55</v>
      </c>
      <c r="B37" s="125" t="s">
        <v>67</v>
      </c>
      <c r="C37" s="29" t="s">
        <v>62</v>
      </c>
      <c r="D37" s="27" t="s">
        <v>25</v>
      </c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</row>
    <row r="38" spans="1:16" s="1" customFormat="1" ht="37.5" x14ac:dyDescent="0.3">
      <c r="A38" s="30" t="s">
        <v>56</v>
      </c>
      <c r="B38" s="125"/>
      <c r="C38" s="23" t="s">
        <v>26</v>
      </c>
      <c r="D38" s="27" t="s">
        <v>25</v>
      </c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</row>
    <row r="39" spans="1:16" s="1" customFormat="1" ht="58.5" customHeight="1" x14ac:dyDescent="0.3">
      <c r="A39" s="30" t="s">
        <v>57</v>
      </c>
      <c r="B39" s="125" t="s">
        <v>68</v>
      </c>
      <c r="C39" s="123" t="s">
        <v>69</v>
      </c>
      <c r="D39" s="123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</row>
    <row r="40" spans="1:16" s="1" customFormat="1" ht="24" customHeight="1" x14ac:dyDescent="0.3">
      <c r="A40" s="30" t="s">
        <v>58</v>
      </c>
      <c r="B40" s="125"/>
      <c r="C40" s="123" t="s">
        <v>70</v>
      </c>
      <c r="D40" s="123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</row>
    <row r="41" spans="1:16" s="1" customFormat="1" ht="60" customHeight="1" x14ac:dyDescent="0.3">
      <c r="A41" s="30" t="s">
        <v>71</v>
      </c>
      <c r="B41" s="125"/>
      <c r="C41" s="123" t="s">
        <v>72</v>
      </c>
      <c r="D41" s="123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</row>
    <row r="42" spans="1:16" s="1" customFormat="1" ht="18.75" x14ac:dyDescent="0.3">
      <c r="A42" s="30" t="s">
        <v>59</v>
      </c>
      <c r="B42" s="125"/>
      <c r="C42" s="124" t="s">
        <v>73</v>
      </c>
      <c r="D42" s="124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</row>
    <row r="43" spans="1:16" s="1" customFormat="1" ht="63.75" customHeight="1" x14ac:dyDescent="0.3">
      <c r="A43" s="30" t="s">
        <v>60</v>
      </c>
      <c r="B43" s="125"/>
      <c r="C43" s="123" t="s">
        <v>74</v>
      </c>
      <c r="D43" s="123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</row>
    <row r="44" spans="1:16" s="1" customFormat="1" ht="59.25" customHeight="1" x14ac:dyDescent="0.3">
      <c r="A44" s="30" t="s">
        <v>75</v>
      </c>
      <c r="B44" s="125"/>
      <c r="C44" s="123" t="s">
        <v>76</v>
      </c>
      <c r="D44" s="123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</row>
    <row r="45" spans="1:16" s="1" customFormat="1" ht="18.75" x14ac:dyDescent="0.3">
      <c r="A45" s="30" t="s">
        <v>77</v>
      </c>
      <c r="B45" s="124" t="s">
        <v>78</v>
      </c>
      <c r="C45" s="124"/>
      <c r="D45" s="124"/>
      <c r="E45" s="28">
        <f>E31+E32+E33+E34+E35+E36+E37+E38+E39+E40+E41+E43+E42+E44</f>
        <v>45</v>
      </c>
      <c r="F45" s="28">
        <f t="shared" ref="F45:P45" si="1">F31+F32+F33+F34+F35+F36+F37+F38+F39+F40+F41+F43+F42+F44</f>
        <v>193.27</v>
      </c>
      <c r="G45" s="28">
        <f t="shared" si="1"/>
        <v>6</v>
      </c>
      <c r="H45" s="28">
        <f t="shared" si="1"/>
        <v>34.78</v>
      </c>
      <c r="I45" s="28">
        <f t="shared" si="1"/>
        <v>0</v>
      </c>
      <c r="J45" s="28">
        <f t="shared" si="1"/>
        <v>0</v>
      </c>
      <c r="K45" s="28">
        <f t="shared" si="1"/>
        <v>0</v>
      </c>
      <c r="L45" s="28">
        <f t="shared" si="1"/>
        <v>0</v>
      </c>
      <c r="M45" s="28">
        <f t="shared" si="1"/>
        <v>42</v>
      </c>
      <c r="N45" s="28">
        <f t="shared" si="1"/>
        <v>178.27</v>
      </c>
      <c r="O45" s="28">
        <f t="shared" si="1"/>
        <v>39</v>
      </c>
      <c r="P45" s="28">
        <f t="shared" si="1"/>
        <v>175.32999999999998</v>
      </c>
    </row>
    <row r="46" spans="1:16" customFormat="1" x14ac:dyDescent="0.2">
      <c r="E46" s="6"/>
      <c r="F46" s="6"/>
      <c r="G46" s="6"/>
      <c r="H46" s="6"/>
      <c r="I46" s="6"/>
      <c r="J46" s="6"/>
      <c r="K46" s="6"/>
      <c r="L46" s="6"/>
      <c r="M46" s="6"/>
    </row>
  </sheetData>
  <mergeCells count="54">
    <mergeCell ref="B45:D45"/>
    <mergeCell ref="B35:B36"/>
    <mergeCell ref="B37:B38"/>
    <mergeCell ref="B39:B44"/>
    <mergeCell ref="C39:D39"/>
    <mergeCell ref="C40:D40"/>
    <mergeCell ref="C41:D41"/>
    <mergeCell ref="C42:D42"/>
    <mergeCell ref="C43:D43"/>
    <mergeCell ref="C44:D44"/>
    <mergeCell ref="P27:P29"/>
    <mergeCell ref="I28:I29"/>
    <mergeCell ref="J28:K28"/>
    <mergeCell ref="B30:D30"/>
    <mergeCell ref="B31:B34"/>
    <mergeCell ref="C31:C32"/>
    <mergeCell ref="C33:C34"/>
    <mergeCell ref="B7:D7"/>
    <mergeCell ref="B8:B11"/>
    <mergeCell ref="A24:P24"/>
    <mergeCell ref="B26:D29"/>
    <mergeCell ref="E26:F26"/>
    <mergeCell ref="G26:L26"/>
    <mergeCell ref="M26:N26"/>
    <mergeCell ref="O26:P26"/>
    <mergeCell ref="E27:E29"/>
    <mergeCell ref="F27:F29"/>
    <mergeCell ref="G27:G29"/>
    <mergeCell ref="H27:H29"/>
    <mergeCell ref="I27:L27"/>
    <mergeCell ref="M27:M29"/>
    <mergeCell ref="N27:N29"/>
    <mergeCell ref="O27:O29"/>
    <mergeCell ref="H4:H5"/>
    <mergeCell ref="I4:I5"/>
    <mergeCell ref="J4:J5"/>
    <mergeCell ref="B6:D6"/>
    <mergeCell ref="K4:M4"/>
    <mergeCell ref="B17:D17"/>
    <mergeCell ref="B18:D18"/>
    <mergeCell ref="A1:M1"/>
    <mergeCell ref="C8:C9"/>
    <mergeCell ref="C10:C11"/>
    <mergeCell ref="B12:B13"/>
    <mergeCell ref="B14:B15"/>
    <mergeCell ref="B16:D16"/>
    <mergeCell ref="A3:A6"/>
    <mergeCell ref="B3:D5"/>
    <mergeCell ref="E3:F3"/>
    <mergeCell ref="G3:H3"/>
    <mergeCell ref="I3:M3"/>
    <mergeCell ref="E4:E5"/>
    <mergeCell ref="F4:F5"/>
    <mergeCell ref="G4:G5"/>
  </mergeCells>
  <pageMargins left="0.25" right="0.25" top="0.75" bottom="0.75" header="0.3" footer="0.3"/>
  <pageSetup paperSize="9" scale="4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7"/>
  <sheetViews>
    <sheetView workbookViewId="0">
      <selection sqref="A1:XFD1048576"/>
    </sheetView>
  </sheetViews>
  <sheetFormatPr defaultRowHeight="12.75" x14ac:dyDescent="0.2"/>
  <cols>
    <col min="1" max="1" width="4.5703125" style="4" customWidth="1"/>
    <col min="2" max="2" width="15.5703125" style="4" customWidth="1"/>
    <col min="3" max="3" width="18.28515625" style="4" customWidth="1"/>
    <col min="4" max="4" width="28.85546875" style="4" customWidth="1"/>
    <col min="5" max="5" width="15.5703125" style="5" customWidth="1"/>
    <col min="6" max="6" width="11.85546875" style="5" customWidth="1"/>
    <col min="7" max="7" width="16" style="5" customWidth="1"/>
    <col min="8" max="8" width="12.5703125" style="5" customWidth="1"/>
    <col min="9" max="9" width="16" style="5" customWidth="1"/>
    <col min="10" max="10" width="18.7109375" style="5" customWidth="1"/>
    <col min="11" max="11" width="18.42578125" style="5" customWidth="1"/>
    <col min="12" max="12" width="25.85546875" style="5" customWidth="1"/>
    <col min="13" max="13" width="17.28515625" style="5" customWidth="1"/>
    <col min="14" max="14" width="13.28515625" style="4" customWidth="1"/>
    <col min="15" max="15" width="9.140625" style="4"/>
    <col min="16" max="16" width="13.5703125" style="4" customWidth="1"/>
    <col min="17" max="16384" width="9.140625" style="4"/>
  </cols>
  <sheetData>
    <row r="1" spans="1:13" s="1" customFormat="1" ht="39.75" customHeight="1" x14ac:dyDescent="0.3">
      <c r="A1" s="126" t="s">
        <v>99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</row>
    <row r="2" spans="1:13" s="1" customFormat="1" ht="18.75" x14ac:dyDescent="0.3">
      <c r="E2" s="2"/>
      <c r="F2" s="2"/>
      <c r="G2" s="2"/>
      <c r="H2" s="2"/>
      <c r="I2" s="2"/>
      <c r="J2" s="2"/>
      <c r="K2" s="2"/>
      <c r="L2" s="2"/>
      <c r="M2" s="2"/>
    </row>
    <row r="3" spans="1:13" s="3" customFormat="1" ht="75" customHeight="1" x14ac:dyDescent="0.3">
      <c r="A3" s="131" t="s">
        <v>0</v>
      </c>
      <c r="B3" s="120" t="s">
        <v>1</v>
      </c>
      <c r="C3" s="120"/>
      <c r="D3" s="120"/>
      <c r="E3" s="120" t="s">
        <v>2</v>
      </c>
      <c r="F3" s="120"/>
      <c r="G3" s="120" t="s">
        <v>3</v>
      </c>
      <c r="H3" s="120"/>
      <c r="I3" s="120" t="s">
        <v>4</v>
      </c>
      <c r="J3" s="120"/>
      <c r="K3" s="120"/>
      <c r="L3" s="120"/>
      <c r="M3" s="120"/>
    </row>
    <row r="4" spans="1:13" s="3" customFormat="1" ht="24" customHeight="1" x14ac:dyDescent="0.3">
      <c r="A4" s="131"/>
      <c r="B4" s="120"/>
      <c r="C4" s="120"/>
      <c r="D4" s="120"/>
      <c r="E4" s="120" t="s">
        <v>5</v>
      </c>
      <c r="F4" s="120" t="s">
        <v>6</v>
      </c>
      <c r="G4" s="120" t="s">
        <v>5</v>
      </c>
      <c r="H4" s="120" t="s">
        <v>6</v>
      </c>
      <c r="I4" s="120" t="s">
        <v>5</v>
      </c>
      <c r="J4" s="120" t="s">
        <v>6</v>
      </c>
      <c r="K4" s="131" t="s">
        <v>34</v>
      </c>
      <c r="L4" s="120"/>
      <c r="M4" s="120"/>
    </row>
    <row r="5" spans="1:13" s="3" customFormat="1" ht="60.75" customHeight="1" x14ac:dyDescent="0.3">
      <c r="A5" s="131"/>
      <c r="B5" s="120"/>
      <c r="C5" s="120"/>
      <c r="D5" s="120"/>
      <c r="E5" s="120"/>
      <c r="F5" s="120"/>
      <c r="G5" s="120"/>
      <c r="H5" s="120"/>
      <c r="I5" s="120"/>
      <c r="J5" s="120"/>
      <c r="K5" s="79" t="s">
        <v>7</v>
      </c>
      <c r="L5" s="79" t="s">
        <v>8</v>
      </c>
      <c r="M5" s="79" t="s">
        <v>9</v>
      </c>
    </row>
    <row r="6" spans="1:13" s="3" customFormat="1" ht="18.75" x14ac:dyDescent="0.3">
      <c r="A6" s="131"/>
      <c r="B6" s="120" t="s">
        <v>10</v>
      </c>
      <c r="C6" s="120"/>
      <c r="D6" s="120"/>
      <c r="E6" s="79" t="s">
        <v>11</v>
      </c>
      <c r="F6" s="79" t="s">
        <v>12</v>
      </c>
      <c r="G6" s="79" t="s">
        <v>13</v>
      </c>
      <c r="H6" s="79" t="s">
        <v>14</v>
      </c>
      <c r="I6" s="79" t="s">
        <v>15</v>
      </c>
      <c r="J6" s="79" t="s">
        <v>16</v>
      </c>
      <c r="K6" s="79" t="s">
        <v>17</v>
      </c>
      <c r="L6" s="79" t="s">
        <v>18</v>
      </c>
      <c r="M6" s="79" t="s">
        <v>19</v>
      </c>
    </row>
    <row r="7" spans="1:13" s="3" customFormat="1" ht="18.75" x14ac:dyDescent="0.3">
      <c r="A7" s="84" t="s">
        <v>101</v>
      </c>
      <c r="B7" s="110" t="s">
        <v>21</v>
      </c>
      <c r="C7" s="110"/>
      <c r="D7" s="110"/>
      <c r="E7" s="82"/>
      <c r="F7" s="82"/>
      <c r="G7" s="82"/>
      <c r="H7" s="82"/>
      <c r="I7" s="82"/>
      <c r="J7" s="82"/>
      <c r="K7" s="82"/>
      <c r="L7" s="82"/>
      <c r="M7" s="82"/>
    </row>
    <row r="8" spans="1:13" s="3" customFormat="1" ht="18.75" x14ac:dyDescent="0.3">
      <c r="A8" s="84" t="s">
        <v>50</v>
      </c>
      <c r="B8" s="110" t="s">
        <v>22</v>
      </c>
      <c r="C8" s="110" t="s">
        <v>23</v>
      </c>
      <c r="D8" s="83" t="s">
        <v>24</v>
      </c>
      <c r="E8" s="79">
        <f>5+10+6+10+7</f>
        <v>38</v>
      </c>
      <c r="F8" s="79">
        <f>17.32+50+30+40.1+35</f>
        <v>172.42</v>
      </c>
      <c r="G8" s="79">
        <f>5+6+6+10+7</f>
        <v>34</v>
      </c>
      <c r="H8" s="79">
        <f>17.32+30+30+40.1+35</f>
        <v>152.41999999999999</v>
      </c>
      <c r="I8" s="79"/>
      <c r="J8" s="79"/>
      <c r="K8" s="79"/>
      <c r="L8" s="79"/>
      <c r="M8" s="79"/>
    </row>
    <row r="9" spans="1:13" s="3" customFormat="1" ht="37.5" x14ac:dyDescent="0.3">
      <c r="A9" s="84" t="s">
        <v>51</v>
      </c>
      <c r="B9" s="110"/>
      <c r="C9" s="110"/>
      <c r="D9" s="83" t="s">
        <v>25</v>
      </c>
      <c r="E9" s="79">
        <f>12+47+6</f>
        <v>65</v>
      </c>
      <c r="F9" s="79">
        <f>105.31+178.6+24.06</f>
        <v>307.96999999999997</v>
      </c>
      <c r="G9" s="96">
        <f>12+42+6</f>
        <v>60</v>
      </c>
      <c r="H9" s="96">
        <f>105.31+159.6+24.06</f>
        <v>288.96999999999997</v>
      </c>
      <c r="I9" s="79"/>
      <c r="J9" s="79"/>
      <c r="K9" s="79"/>
      <c r="L9" s="79"/>
      <c r="M9" s="79"/>
    </row>
    <row r="10" spans="1:13" s="3" customFormat="1" ht="18.75" x14ac:dyDescent="0.3">
      <c r="A10" s="84" t="s">
        <v>52</v>
      </c>
      <c r="B10" s="110"/>
      <c r="C10" s="110" t="s">
        <v>26</v>
      </c>
      <c r="D10" s="83" t="s">
        <v>24</v>
      </c>
      <c r="E10" s="79">
        <f>2</f>
        <v>2</v>
      </c>
      <c r="F10" s="79">
        <f>10</f>
        <v>10</v>
      </c>
      <c r="G10" s="79">
        <f>2</f>
        <v>2</v>
      </c>
      <c r="H10" s="79">
        <f>12.45</f>
        <v>12.45</v>
      </c>
      <c r="I10" s="79"/>
      <c r="J10" s="79"/>
      <c r="K10" s="79"/>
      <c r="L10" s="79"/>
      <c r="M10" s="79"/>
    </row>
    <row r="11" spans="1:13" s="3" customFormat="1" ht="37.5" x14ac:dyDescent="0.3">
      <c r="A11" s="84" t="s">
        <v>53</v>
      </c>
      <c r="B11" s="110"/>
      <c r="C11" s="110"/>
      <c r="D11" s="83" t="s">
        <v>25</v>
      </c>
      <c r="E11" s="79">
        <f>2</f>
        <v>2</v>
      </c>
      <c r="F11" s="79">
        <f>10.4</f>
        <v>10.4</v>
      </c>
      <c r="G11" s="79">
        <f>2</f>
        <v>2</v>
      </c>
      <c r="H11" s="79">
        <f>10.4</f>
        <v>10.4</v>
      </c>
      <c r="I11" s="79"/>
      <c r="J11" s="79"/>
      <c r="K11" s="79"/>
      <c r="L11" s="79"/>
      <c r="M11" s="79"/>
    </row>
    <row r="12" spans="1:13" s="3" customFormat="1" ht="37.5" x14ac:dyDescent="0.3">
      <c r="A12" s="84" t="s">
        <v>54</v>
      </c>
      <c r="B12" s="110" t="s">
        <v>27</v>
      </c>
      <c r="C12" s="80" t="s">
        <v>23</v>
      </c>
      <c r="D12" s="83" t="s">
        <v>25</v>
      </c>
      <c r="E12" s="79"/>
      <c r="F12" s="79"/>
      <c r="G12" s="79"/>
      <c r="H12" s="79"/>
      <c r="I12" s="79"/>
      <c r="J12" s="79"/>
      <c r="K12" s="79"/>
      <c r="L12" s="79"/>
      <c r="M12" s="79"/>
    </row>
    <row r="13" spans="1:13" s="3" customFormat="1" ht="37.5" x14ac:dyDescent="0.3">
      <c r="A13" s="84" t="s">
        <v>55</v>
      </c>
      <c r="B13" s="110"/>
      <c r="C13" s="80" t="s">
        <v>26</v>
      </c>
      <c r="D13" s="83" t="s">
        <v>25</v>
      </c>
      <c r="E13" s="79">
        <f>1+1</f>
        <v>2</v>
      </c>
      <c r="F13" s="79">
        <f>560+19.6</f>
        <v>579.6</v>
      </c>
      <c r="G13" s="79">
        <f>1</f>
        <v>1</v>
      </c>
      <c r="H13" s="79">
        <f>560</f>
        <v>560</v>
      </c>
      <c r="I13" s="79"/>
      <c r="J13" s="79"/>
      <c r="K13" s="79"/>
      <c r="L13" s="79"/>
      <c r="M13" s="79"/>
    </row>
    <row r="14" spans="1:13" s="3" customFormat="1" ht="37.5" x14ac:dyDescent="0.3">
      <c r="A14" s="84">
        <v>8</v>
      </c>
      <c r="B14" s="110" t="s">
        <v>28</v>
      </c>
      <c r="C14" s="80" t="s">
        <v>23</v>
      </c>
      <c r="D14" s="83" t="s">
        <v>25</v>
      </c>
      <c r="E14" s="79"/>
      <c r="F14" s="79"/>
      <c r="G14" s="79"/>
      <c r="H14" s="79"/>
      <c r="I14" s="79"/>
      <c r="J14" s="79"/>
      <c r="K14" s="79"/>
      <c r="L14" s="79"/>
      <c r="M14" s="79"/>
    </row>
    <row r="15" spans="1:13" s="3" customFormat="1" ht="37.5" x14ac:dyDescent="0.3">
      <c r="A15" s="84" t="s">
        <v>57</v>
      </c>
      <c r="B15" s="110"/>
      <c r="C15" s="80" t="s">
        <v>26</v>
      </c>
      <c r="D15" s="83" t="s">
        <v>25</v>
      </c>
      <c r="E15" s="79"/>
      <c r="F15" s="79"/>
      <c r="G15" s="79">
        <f>1</f>
        <v>1</v>
      </c>
      <c r="H15" s="79">
        <f>417.65</f>
        <v>417.65</v>
      </c>
      <c r="I15" s="79"/>
      <c r="J15" s="79"/>
      <c r="K15" s="79"/>
      <c r="L15" s="79"/>
      <c r="M15" s="79"/>
    </row>
    <row r="16" spans="1:13" s="3" customFormat="1" ht="18.75" x14ac:dyDescent="0.3">
      <c r="A16" s="80" t="s">
        <v>19</v>
      </c>
      <c r="B16" s="110" t="s">
        <v>29</v>
      </c>
      <c r="C16" s="110"/>
      <c r="D16" s="110"/>
      <c r="E16" s="79"/>
      <c r="F16" s="79"/>
      <c r="G16" s="79"/>
      <c r="H16" s="79"/>
      <c r="I16" s="79"/>
      <c r="J16" s="79"/>
      <c r="K16" s="79"/>
      <c r="L16" s="79"/>
      <c r="M16" s="79"/>
    </row>
    <row r="17" spans="1:16" s="95" customFormat="1" ht="18.75" x14ac:dyDescent="0.3">
      <c r="A17" s="78" t="s">
        <v>71</v>
      </c>
      <c r="B17" s="123" t="s">
        <v>78</v>
      </c>
      <c r="C17" s="123"/>
      <c r="D17" s="123"/>
      <c r="E17" s="86">
        <f>E8+E9+E10+E11+E12+E13+E14+E15+E16</f>
        <v>109</v>
      </c>
      <c r="F17" s="86">
        <f t="shared" ref="F17:M17" si="0">F8+F9+F10+F11+F12+F13+F14+F15+F16</f>
        <v>1080.3899999999999</v>
      </c>
      <c r="G17" s="86">
        <f t="shared" si="0"/>
        <v>100</v>
      </c>
      <c r="H17" s="86">
        <f t="shared" si="0"/>
        <v>1441.8899999999999</v>
      </c>
      <c r="I17" s="86">
        <f t="shared" si="0"/>
        <v>0</v>
      </c>
      <c r="J17" s="86">
        <f t="shared" si="0"/>
        <v>0</v>
      </c>
      <c r="K17" s="86">
        <f t="shared" si="0"/>
        <v>0</v>
      </c>
      <c r="L17" s="86">
        <f t="shared" si="0"/>
        <v>0</v>
      </c>
      <c r="M17" s="86">
        <f t="shared" si="0"/>
        <v>0</v>
      </c>
    </row>
    <row r="18" spans="1:16" s="3" customFormat="1" ht="18.75" x14ac:dyDescent="0.3">
      <c r="A18" s="80" t="s">
        <v>32</v>
      </c>
      <c r="B18" s="110" t="s">
        <v>33</v>
      </c>
      <c r="C18" s="110"/>
      <c r="D18" s="110"/>
      <c r="E18" s="79"/>
      <c r="F18" s="79"/>
      <c r="G18" s="79"/>
      <c r="H18" s="79"/>
      <c r="I18" s="79"/>
      <c r="J18" s="79"/>
      <c r="K18" s="79"/>
      <c r="L18" s="79"/>
      <c r="M18" s="79"/>
    </row>
    <row r="21" spans="1:16" customFormat="1" x14ac:dyDescent="0.2">
      <c r="E21" s="6"/>
      <c r="F21" s="6"/>
      <c r="G21" s="6"/>
      <c r="H21" s="6"/>
      <c r="I21" s="6"/>
      <c r="J21" s="6"/>
      <c r="K21" s="6"/>
      <c r="L21" s="6"/>
      <c r="M21" s="6"/>
    </row>
    <row r="22" spans="1:16" s="1" customFormat="1" ht="18.75" x14ac:dyDescent="0.3">
      <c r="A22" s="7" t="s">
        <v>35</v>
      </c>
      <c r="E22" s="2"/>
      <c r="F22" s="2"/>
      <c r="G22" s="2"/>
      <c r="H22" s="2"/>
      <c r="I22" s="2"/>
      <c r="J22" s="2"/>
      <c r="K22" s="2"/>
      <c r="L22" s="2"/>
      <c r="M22" s="2"/>
    </row>
    <row r="23" spans="1:16" s="1" customFormat="1" ht="18.75" x14ac:dyDescent="0.3">
      <c r="E23" s="2"/>
      <c r="F23" s="2"/>
      <c r="G23" s="2"/>
      <c r="H23" s="2"/>
      <c r="I23" s="2"/>
      <c r="J23" s="2"/>
      <c r="K23" s="2"/>
      <c r="L23" s="2"/>
      <c r="M23" s="2"/>
    </row>
    <row r="24" spans="1:16" s="1" customFormat="1" ht="36.75" customHeight="1" x14ac:dyDescent="0.3">
      <c r="A24" s="111" t="s">
        <v>100</v>
      </c>
      <c r="B24" s="112"/>
      <c r="C24" s="112"/>
      <c r="D24" s="112"/>
      <c r="E24" s="112"/>
      <c r="F24" s="112"/>
      <c r="G24" s="112"/>
      <c r="H24" s="112"/>
      <c r="I24" s="112"/>
      <c r="J24" s="112"/>
      <c r="K24" s="112"/>
      <c r="L24" s="112"/>
      <c r="M24" s="112"/>
      <c r="N24" s="112"/>
      <c r="O24" s="112"/>
      <c r="P24" s="112"/>
    </row>
    <row r="25" spans="1:16" s="1" customFormat="1" ht="18.75" x14ac:dyDescent="0.3">
      <c r="E25" s="2"/>
      <c r="F25" s="2"/>
      <c r="G25" s="2"/>
      <c r="H25" s="2"/>
      <c r="I25" s="2"/>
      <c r="J25" s="2"/>
      <c r="K25" s="2"/>
      <c r="L25" s="2"/>
      <c r="M25" s="2"/>
    </row>
    <row r="26" spans="1:16" s="94" customFormat="1" ht="60" customHeight="1" x14ac:dyDescent="0.2">
      <c r="A26" s="133" t="s">
        <v>0</v>
      </c>
      <c r="B26" s="136" t="s">
        <v>36</v>
      </c>
      <c r="C26" s="136"/>
      <c r="D26" s="136"/>
      <c r="E26" s="131" t="s">
        <v>37</v>
      </c>
      <c r="F26" s="131"/>
      <c r="G26" s="136" t="s">
        <v>79</v>
      </c>
      <c r="H26" s="136"/>
      <c r="I26" s="136"/>
      <c r="J26" s="136"/>
      <c r="K26" s="136"/>
      <c r="L26" s="136"/>
      <c r="M26" s="131" t="s">
        <v>38</v>
      </c>
      <c r="N26" s="131"/>
      <c r="O26" s="131" t="s">
        <v>39</v>
      </c>
      <c r="P26" s="131"/>
    </row>
    <row r="27" spans="1:16" s="94" customFormat="1" ht="20.25" customHeight="1" x14ac:dyDescent="0.2">
      <c r="A27" s="134"/>
      <c r="B27" s="136"/>
      <c r="C27" s="136"/>
      <c r="D27" s="136"/>
      <c r="E27" s="122" t="s">
        <v>40</v>
      </c>
      <c r="F27" s="125" t="s">
        <v>41</v>
      </c>
      <c r="G27" s="122" t="s">
        <v>40</v>
      </c>
      <c r="H27" s="125" t="s">
        <v>41</v>
      </c>
      <c r="I27" s="136" t="s">
        <v>42</v>
      </c>
      <c r="J27" s="136"/>
      <c r="K27" s="136"/>
      <c r="L27" s="136"/>
      <c r="M27" s="122" t="s">
        <v>40</v>
      </c>
      <c r="N27" s="125" t="s">
        <v>41</v>
      </c>
      <c r="O27" s="122" t="s">
        <v>40</v>
      </c>
      <c r="P27" s="125" t="s">
        <v>41</v>
      </c>
    </row>
    <row r="28" spans="1:16" s="94" customFormat="1" ht="18.75" x14ac:dyDescent="0.2">
      <c r="A28" s="134"/>
      <c r="B28" s="136"/>
      <c r="C28" s="136"/>
      <c r="D28" s="136"/>
      <c r="E28" s="122"/>
      <c r="F28" s="125"/>
      <c r="G28" s="122"/>
      <c r="H28" s="125"/>
      <c r="I28" s="131" t="s">
        <v>43</v>
      </c>
      <c r="J28" s="136" t="s">
        <v>44</v>
      </c>
      <c r="K28" s="136"/>
      <c r="L28" s="87" t="s">
        <v>45</v>
      </c>
      <c r="M28" s="122"/>
      <c r="N28" s="125"/>
      <c r="O28" s="122"/>
      <c r="P28" s="125"/>
    </row>
    <row r="29" spans="1:16" s="94" customFormat="1" ht="96" customHeight="1" x14ac:dyDescent="0.2">
      <c r="A29" s="135"/>
      <c r="B29" s="136"/>
      <c r="C29" s="136"/>
      <c r="D29" s="136"/>
      <c r="E29" s="122"/>
      <c r="F29" s="125"/>
      <c r="G29" s="122"/>
      <c r="H29" s="125"/>
      <c r="I29" s="131"/>
      <c r="J29" s="86" t="s">
        <v>46</v>
      </c>
      <c r="K29" s="86" t="s">
        <v>47</v>
      </c>
      <c r="L29" s="86" t="s">
        <v>48</v>
      </c>
      <c r="M29" s="122"/>
      <c r="N29" s="125"/>
      <c r="O29" s="122"/>
      <c r="P29" s="125"/>
    </row>
    <row r="30" spans="1:16" s="94" customFormat="1" ht="18.75" x14ac:dyDescent="0.2">
      <c r="A30" s="87"/>
      <c r="B30" s="136" t="s">
        <v>49</v>
      </c>
      <c r="C30" s="136"/>
      <c r="D30" s="136"/>
      <c r="E30" s="87" t="s">
        <v>50</v>
      </c>
      <c r="F30" s="87" t="s">
        <v>51</v>
      </c>
      <c r="G30" s="87" t="s">
        <v>52</v>
      </c>
      <c r="H30" s="87" t="s">
        <v>53</v>
      </c>
      <c r="I30" s="87" t="s">
        <v>54</v>
      </c>
      <c r="J30" s="87" t="s">
        <v>55</v>
      </c>
      <c r="K30" s="87" t="s">
        <v>56</v>
      </c>
      <c r="L30" s="87" t="s">
        <v>57</v>
      </c>
      <c r="M30" s="87" t="s">
        <v>58</v>
      </c>
      <c r="N30" s="87">
        <v>11</v>
      </c>
      <c r="O30" s="87" t="s">
        <v>59</v>
      </c>
      <c r="P30" s="87" t="s">
        <v>60</v>
      </c>
    </row>
    <row r="31" spans="1:16" s="1" customFormat="1" ht="18.75" x14ac:dyDescent="0.3">
      <c r="A31" s="87" t="s">
        <v>49</v>
      </c>
      <c r="B31" s="122" t="s">
        <v>61</v>
      </c>
      <c r="C31" s="138" t="s">
        <v>62</v>
      </c>
      <c r="D31" s="89" t="s">
        <v>63</v>
      </c>
      <c r="E31" s="79">
        <f>5+5+10+2</f>
        <v>22</v>
      </c>
      <c r="F31" s="79">
        <f>23.9+25+40.1+10</f>
        <v>99</v>
      </c>
      <c r="G31" s="81"/>
      <c r="H31" s="81"/>
      <c r="I31" s="81"/>
      <c r="J31" s="81"/>
      <c r="K31" s="81"/>
      <c r="L31" s="81"/>
      <c r="M31" s="79">
        <f>5+5+1+10+2</f>
        <v>23</v>
      </c>
      <c r="N31" s="79">
        <f>23.9+25+5+40.1+10</f>
        <v>104</v>
      </c>
      <c r="O31" s="79">
        <f>11+5+1+1+2</f>
        <v>20</v>
      </c>
      <c r="P31" s="79">
        <f>56.16+25+5+40.1+10</f>
        <v>136.26</v>
      </c>
    </row>
    <row r="32" spans="1:16" s="1" customFormat="1" ht="37.5" x14ac:dyDescent="0.3">
      <c r="A32" s="87" t="s">
        <v>50</v>
      </c>
      <c r="B32" s="122"/>
      <c r="C32" s="138"/>
      <c r="D32" s="90" t="s">
        <v>64</v>
      </c>
      <c r="E32" s="81">
        <f>10+28+6</f>
        <v>44</v>
      </c>
      <c r="F32" s="81">
        <f>64.15+106.4+24.06</f>
        <v>194.61</v>
      </c>
      <c r="G32" s="81"/>
      <c r="H32" s="81"/>
      <c r="I32" s="81"/>
      <c r="J32" s="81"/>
      <c r="K32" s="81"/>
      <c r="L32" s="81"/>
      <c r="M32" s="97">
        <f>10+24+6</f>
        <v>40</v>
      </c>
      <c r="N32" s="97">
        <f>64.15+91.2+24.06</f>
        <v>179.41000000000003</v>
      </c>
      <c r="O32" s="81">
        <f>9+19+3</f>
        <v>31</v>
      </c>
      <c r="P32" s="81">
        <f>39.09+79.8+12.03</f>
        <v>130.91999999999999</v>
      </c>
    </row>
    <row r="33" spans="1:16" s="1" customFormat="1" ht="18.75" x14ac:dyDescent="0.3">
      <c r="A33" s="87" t="s">
        <v>51</v>
      </c>
      <c r="B33" s="122"/>
      <c r="C33" s="138" t="s">
        <v>65</v>
      </c>
      <c r="D33" s="89" t="s">
        <v>63</v>
      </c>
      <c r="E33" s="81">
        <f>1</f>
        <v>1</v>
      </c>
      <c r="F33" s="81">
        <f>7.45</f>
        <v>7.45</v>
      </c>
      <c r="G33" s="81"/>
      <c r="H33" s="81"/>
      <c r="I33" s="81"/>
      <c r="J33" s="81"/>
      <c r="K33" s="81"/>
      <c r="L33" s="81"/>
      <c r="M33" s="97">
        <f>1</f>
        <v>1</v>
      </c>
      <c r="N33" s="97">
        <f>7.45</f>
        <v>7.45</v>
      </c>
      <c r="O33" s="81">
        <f>3</f>
        <v>3</v>
      </c>
      <c r="P33" s="81">
        <f>28.58</f>
        <v>28.58</v>
      </c>
    </row>
    <row r="34" spans="1:16" s="1" customFormat="1" ht="37.5" x14ac:dyDescent="0.3">
      <c r="A34" s="87" t="s">
        <v>52</v>
      </c>
      <c r="B34" s="122"/>
      <c r="C34" s="138"/>
      <c r="D34" s="91" t="s">
        <v>25</v>
      </c>
      <c r="E34" s="81">
        <f>2</f>
        <v>2</v>
      </c>
      <c r="F34" s="81">
        <f>10.4</f>
        <v>10.4</v>
      </c>
      <c r="G34" s="81"/>
      <c r="H34" s="81"/>
      <c r="I34" s="81"/>
      <c r="J34" s="81"/>
      <c r="K34" s="81"/>
      <c r="L34" s="81"/>
      <c r="M34" s="81"/>
      <c r="N34" s="81"/>
      <c r="O34" s="81">
        <f>3</f>
        <v>3</v>
      </c>
      <c r="P34" s="81">
        <f>15.7</f>
        <v>15.7</v>
      </c>
    </row>
    <row r="35" spans="1:16" s="1" customFormat="1" ht="37.5" x14ac:dyDescent="0.3">
      <c r="A35" s="87" t="s">
        <v>53</v>
      </c>
      <c r="B35" s="125" t="s">
        <v>66</v>
      </c>
      <c r="C35" s="92" t="s">
        <v>62</v>
      </c>
      <c r="D35" s="91" t="s">
        <v>25</v>
      </c>
      <c r="E35" s="81"/>
      <c r="F35" s="81"/>
      <c r="G35" s="81"/>
      <c r="H35" s="81"/>
      <c r="I35" s="81"/>
      <c r="J35" s="81"/>
      <c r="K35" s="81"/>
      <c r="L35" s="81"/>
      <c r="M35" s="81"/>
      <c r="N35" s="81"/>
      <c r="O35" s="81"/>
      <c r="P35" s="81"/>
    </row>
    <row r="36" spans="1:16" s="1" customFormat="1" ht="51" customHeight="1" x14ac:dyDescent="0.3">
      <c r="A36" s="87" t="s">
        <v>54</v>
      </c>
      <c r="B36" s="125"/>
      <c r="C36" s="92" t="s">
        <v>65</v>
      </c>
      <c r="D36" s="91" t="s">
        <v>25</v>
      </c>
      <c r="E36" s="81"/>
      <c r="F36" s="81"/>
      <c r="G36" s="81"/>
      <c r="H36" s="81"/>
      <c r="I36" s="81"/>
      <c r="J36" s="81"/>
      <c r="K36" s="81"/>
      <c r="L36" s="81"/>
      <c r="M36" s="81"/>
      <c r="N36" s="81"/>
      <c r="O36" s="81"/>
      <c r="P36" s="81"/>
    </row>
    <row r="37" spans="1:16" s="1" customFormat="1" ht="51.75" customHeight="1" x14ac:dyDescent="0.3">
      <c r="A37" s="87" t="s">
        <v>55</v>
      </c>
      <c r="B37" s="125" t="s">
        <v>67</v>
      </c>
      <c r="C37" s="92" t="s">
        <v>62</v>
      </c>
      <c r="D37" s="91" t="s">
        <v>25</v>
      </c>
      <c r="E37" s="81"/>
      <c r="F37" s="81"/>
      <c r="G37" s="81"/>
      <c r="H37" s="81"/>
      <c r="I37" s="81"/>
      <c r="J37" s="81"/>
      <c r="K37" s="81"/>
      <c r="L37" s="81"/>
      <c r="M37" s="81"/>
      <c r="N37" s="81"/>
      <c r="O37" s="81"/>
      <c r="P37" s="81"/>
    </row>
    <row r="38" spans="1:16" s="1" customFormat="1" ht="37.5" x14ac:dyDescent="0.3">
      <c r="A38" s="87" t="s">
        <v>56</v>
      </c>
      <c r="B38" s="125"/>
      <c r="C38" s="93" t="s">
        <v>26</v>
      </c>
      <c r="D38" s="91" t="s">
        <v>25</v>
      </c>
      <c r="E38" s="81"/>
      <c r="F38" s="81"/>
      <c r="G38" s="81"/>
      <c r="H38" s="81"/>
      <c r="I38" s="81"/>
      <c r="J38" s="81"/>
      <c r="K38" s="81"/>
      <c r="L38" s="81"/>
      <c r="M38" s="81"/>
      <c r="N38" s="81"/>
      <c r="O38" s="81"/>
      <c r="P38" s="81"/>
    </row>
    <row r="39" spans="1:16" s="1" customFormat="1" ht="58.5" customHeight="1" x14ac:dyDescent="0.3">
      <c r="A39" s="87" t="s">
        <v>57</v>
      </c>
      <c r="B39" s="125" t="s">
        <v>68</v>
      </c>
      <c r="C39" s="138" t="s">
        <v>69</v>
      </c>
      <c r="D39" s="138"/>
      <c r="E39" s="81"/>
      <c r="F39" s="81"/>
      <c r="G39" s="81"/>
      <c r="H39" s="81"/>
      <c r="I39" s="81"/>
      <c r="J39" s="81"/>
      <c r="K39" s="81"/>
      <c r="L39" s="81"/>
      <c r="M39" s="81"/>
      <c r="N39" s="81"/>
      <c r="O39" s="81"/>
      <c r="P39" s="81"/>
    </row>
    <row r="40" spans="1:16" s="1" customFormat="1" ht="36.75" customHeight="1" x14ac:dyDescent="0.3">
      <c r="A40" s="87" t="s">
        <v>58</v>
      </c>
      <c r="B40" s="125"/>
      <c r="C40" s="138" t="s">
        <v>70</v>
      </c>
      <c r="D40" s="138"/>
      <c r="E40" s="81"/>
      <c r="F40" s="81"/>
      <c r="G40" s="81"/>
      <c r="H40" s="81"/>
      <c r="I40" s="81"/>
      <c r="J40" s="81"/>
      <c r="K40" s="81"/>
      <c r="L40" s="81"/>
      <c r="M40" s="81"/>
      <c r="N40" s="81"/>
      <c r="O40" s="81"/>
      <c r="P40" s="81"/>
    </row>
    <row r="41" spans="1:16" s="1" customFormat="1" ht="60" customHeight="1" x14ac:dyDescent="0.3">
      <c r="A41" s="87" t="s">
        <v>71</v>
      </c>
      <c r="B41" s="125"/>
      <c r="C41" s="138" t="s">
        <v>72</v>
      </c>
      <c r="D41" s="138"/>
      <c r="E41" s="81">
        <v>1</v>
      </c>
      <c r="F41" s="81">
        <f>522.43</f>
        <v>522.42999999999995</v>
      </c>
      <c r="G41" s="81"/>
      <c r="H41" s="81"/>
      <c r="I41" s="81"/>
      <c r="J41" s="81"/>
      <c r="K41" s="81"/>
      <c r="L41" s="81"/>
      <c r="M41" s="97">
        <v>1</v>
      </c>
      <c r="N41" s="97">
        <f>522.43</f>
        <v>522.42999999999995</v>
      </c>
      <c r="O41" s="81"/>
      <c r="P41" s="81"/>
    </row>
    <row r="42" spans="1:16" s="1" customFormat="1" ht="24" customHeight="1" x14ac:dyDescent="0.3">
      <c r="A42" s="87" t="s">
        <v>59</v>
      </c>
      <c r="B42" s="125"/>
      <c r="C42" s="139" t="s">
        <v>73</v>
      </c>
      <c r="D42" s="139"/>
      <c r="E42" s="81"/>
      <c r="F42" s="81"/>
      <c r="G42" s="81"/>
      <c r="H42" s="81"/>
      <c r="I42" s="81"/>
      <c r="J42" s="81"/>
      <c r="K42" s="81"/>
      <c r="L42" s="81"/>
      <c r="M42" s="81"/>
      <c r="N42" s="81"/>
      <c r="O42" s="81"/>
      <c r="P42" s="81"/>
    </row>
    <row r="43" spans="1:16" s="1" customFormat="1" ht="63.75" customHeight="1" x14ac:dyDescent="0.3">
      <c r="A43" s="87" t="s">
        <v>60</v>
      </c>
      <c r="B43" s="125"/>
      <c r="C43" s="138" t="s">
        <v>74</v>
      </c>
      <c r="D43" s="138"/>
      <c r="E43" s="81"/>
      <c r="F43" s="81"/>
      <c r="G43" s="81"/>
      <c r="H43" s="81"/>
      <c r="I43" s="81"/>
      <c r="J43" s="81"/>
      <c r="K43" s="81"/>
      <c r="L43" s="81"/>
      <c r="M43" s="81"/>
      <c r="N43" s="81"/>
      <c r="O43" s="81"/>
      <c r="P43" s="81"/>
    </row>
    <row r="44" spans="1:16" s="1" customFormat="1" ht="59.25" customHeight="1" x14ac:dyDescent="0.3">
      <c r="A44" s="87" t="s">
        <v>75</v>
      </c>
      <c r="B44" s="125"/>
      <c r="C44" s="138" t="s">
        <v>76</v>
      </c>
      <c r="D44" s="138"/>
      <c r="E44" s="81"/>
      <c r="F44" s="81"/>
      <c r="G44" s="81"/>
      <c r="H44" s="81"/>
      <c r="I44" s="81"/>
      <c r="J44" s="81"/>
      <c r="K44" s="81"/>
      <c r="L44" s="81"/>
      <c r="M44" s="81"/>
      <c r="N44" s="81"/>
      <c r="O44" s="81"/>
      <c r="P44" s="81"/>
    </row>
    <row r="45" spans="1:16" s="88" customFormat="1" ht="18.75" x14ac:dyDescent="0.3">
      <c r="A45" s="85" t="s">
        <v>77</v>
      </c>
      <c r="B45" s="124" t="s">
        <v>78</v>
      </c>
      <c r="C45" s="124"/>
      <c r="D45" s="124"/>
      <c r="E45" s="86">
        <f>E31+E32+E33+E34+E35+E36+E37+E38+E39+E40+E41+E43+E42+E44</f>
        <v>70</v>
      </c>
      <c r="F45" s="86">
        <f t="shared" ref="F45:P45" si="1">F31+F32+F33+F34+F35+F36+F37+F38+F39+F40+F41+F43+F42+F44</f>
        <v>833.88999999999987</v>
      </c>
      <c r="G45" s="86">
        <f t="shared" si="1"/>
        <v>0</v>
      </c>
      <c r="H45" s="86">
        <f t="shared" si="1"/>
        <v>0</v>
      </c>
      <c r="I45" s="86">
        <f t="shared" si="1"/>
        <v>0</v>
      </c>
      <c r="J45" s="86">
        <f t="shared" si="1"/>
        <v>0</v>
      </c>
      <c r="K45" s="86">
        <f t="shared" si="1"/>
        <v>0</v>
      </c>
      <c r="L45" s="86">
        <f t="shared" si="1"/>
        <v>0</v>
      </c>
      <c r="M45" s="86">
        <f t="shared" si="1"/>
        <v>65</v>
      </c>
      <c r="N45" s="86">
        <f t="shared" si="1"/>
        <v>813.29</v>
      </c>
      <c r="O45" s="86">
        <f t="shared" si="1"/>
        <v>57</v>
      </c>
      <c r="P45" s="86">
        <f t="shared" si="1"/>
        <v>311.45999999999992</v>
      </c>
    </row>
    <row r="46" spans="1:16" customFormat="1" x14ac:dyDescent="0.2">
      <c r="E46" s="6"/>
      <c r="F46" s="6"/>
      <c r="G46" s="6"/>
      <c r="H46" s="6"/>
      <c r="I46" s="6"/>
      <c r="J46" s="6"/>
      <c r="K46" s="6"/>
      <c r="L46" s="6"/>
      <c r="M46" s="6"/>
    </row>
    <row r="47" spans="1:16" ht="18.75" x14ac:dyDescent="0.2">
      <c r="A47" s="32" t="s">
        <v>86</v>
      </c>
    </row>
  </sheetData>
  <mergeCells count="55">
    <mergeCell ref="B45:D45"/>
    <mergeCell ref="B39:B44"/>
    <mergeCell ref="C39:D39"/>
    <mergeCell ref="C40:D40"/>
    <mergeCell ref="C41:D41"/>
    <mergeCell ref="C42:D42"/>
    <mergeCell ref="C43:D43"/>
    <mergeCell ref="C44:D44"/>
    <mergeCell ref="B37:B38"/>
    <mergeCell ref="I27:L27"/>
    <mergeCell ref="M27:M29"/>
    <mergeCell ref="N27:N29"/>
    <mergeCell ref="O27:O29"/>
    <mergeCell ref="B30:D30"/>
    <mergeCell ref="B31:B34"/>
    <mergeCell ref="C31:C32"/>
    <mergeCell ref="C33:C34"/>
    <mergeCell ref="B35:B36"/>
    <mergeCell ref="P27:P29"/>
    <mergeCell ref="I28:I29"/>
    <mergeCell ref="J28:K28"/>
    <mergeCell ref="A26:A29"/>
    <mergeCell ref="B26:D29"/>
    <mergeCell ref="E26:F26"/>
    <mergeCell ref="G26:L26"/>
    <mergeCell ref="M26:N26"/>
    <mergeCell ref="O26:P26"/>
    <mergeCell ref="E27:E29"/>
    <mergeCell ref="F27:F29"/>
    <mergeCell ref="G27:G29"/>
    <mergeCell ref="H27:H29"/>
    <mergeCell ref="A24:P24"/>
    <mergeCell ref="I4:I5"/>
    <mergeCell ref="J4:J5"/>
    <mergeCell ref="K4:M4"/>
    <mergeCell ref="B6:D6"/>
    <mergeCell ref="B7:D7"/>
    <mergeCell ref="B8:B11"/>
    <mergeCell ref="C8:C9"/>
    <mergeCell ref="C10:C11"/>
    <mergeCell ref="B12:B13"/>
    <mergeCell ref="B14:B15"/>
    <mergeCell ref="B16:D16"/>
    <mergeCell ref="B17:D17"/>
    <mergeCell ref="B18:D18"/>
    <mergeCell ref="A1:M1"/>
    <mergeCell ref="A3:A6"/>
    <mergeCell ref="B3:D5"/>
    <mergeCell ref="E3:F3"/>
    <mergeCell ref="G3:H3"/>
    <mergeCell ref="I3:M3"/>
    <mergeCell ref="E4:E5"/>
    <mergeCell ref="F4:F5"/>
    <mergeCell ref="G4:G5"/>
    <mergeCell ref="H4:H5"/>
  </mergeCells>
  <pageMargins left="0.7" right="0.7" top="0.75" bottom="0.75" header="0.3" footer="0.3"/>
  <pageSetup paperSize="9" scale="32"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7"/>
  <sheetViews>
    <sheetView tabSelected="1" topLeftCell="A30" zoomScale="85" zoomScaleNormal="85" workbookViewId="0">
      <selection activeCell="A23" sqref="A23:P47"/>
    </sheetView>
  </sheetViews>
  <sheetFormatPr defaultRowHeight="12.75" x14ac:dyDescent="0.2"/>
  <cols>
    <col min="1" max="1" width="4.5703125" style="4" customWidth="1"/>
    <col min="2" max="2" width="15.5703125" style="4" customWidth="1"/>
    <col min="3" max="3" width="18.28515625" style="4" customWidth="1"/>
    <col min="4" max="4" width="28.85546875" style="4" customWidth="1"/>
    <col min="5" max="5" width="15.5703125" style="5" customWidth="1"/>
    <col min="6" max="6" width="11.85546875" style="5" customWidth="1"/>
    <col min="7" max="7" width="16" style="5" customWidth="1"/>
    <col min="8" max="8" width="12.5703125" style="5" customWidth="1"/>
    <col min="9" max="9" width="16" style="5" customWidth="1"/>
    <col min="10" max="10" width="18.7109375" style="5" customWidth="1"/>
    <col min="11" max="11" width="18.42578125" style="5" customWidth="1"/>
    <col min="12" max="12" width="25.85546875" style="5" customWidth="1"/>
    <col min="13" max="13" width="17.28515625" style="5" customWidth="1"/>
    <col min="14" max="14" width="13.28515625" style="4" customWidth="1"/>
    <col min="15" max="15" width="9.140625" style="4"/>
    <col min="16" max="16" width="13.5703125" style="4" customWidth="1"/>
    <col min="17" max="16384" width="9.140625" style="4"/>
  </cols>
  <sheetData>
    <row r="1" spans="1:13" s="1" customFormat="1" ht="39.75" customHeight="1" x14ac:dyDescent="0.3">
      <c r="A1" s="126" t="s">
        <v>102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</row>
    <row r="2" spans="1:13" s="1" customFormat="1" ht="18.75" x14ac:dyDescent="0.3">
      <c r="E2" s="2"/>
      <c r="F2" s="2"/>
      <c r="G2" s="2"/>
      <c r="H2" s="2"/>
      <c r="I2" s="2"/>
      <c r="J2" s="2"/>
      <c r="K2" s="2"/>
      <c r="L2" s="2"/>
      <c r="M2" s="2"/>
    </row>
    <row r="3" spans="1:13" s="3" customFormat="1" ht="75" customHeight="1" x14ac:dyDescent="0.3">
      <c r="A3" s="131" t="s">
        <v>0</v>
      </c>
      <c r="B3" s="120" t="s">
        <v>1</v>
      </c>
      <c r="C3" s="120"/>
      <c r="D3" s="120"/>
      <c r="E3" s="120" t="s">
        <v>2</v>
      </c>
      <c r="F3" s="120"/>
      <c r="G3" s="120" t="s">
        <v>3</v>
      </c>
      <c r="H3" s="120"/>
      <c r="I3" s="120" t="s">
        <v>4</v>
      </c>
      <c r="J3" s="120"/>
      <c r="K3" s="120"/>
      <c r="L3" s="120"/>
      <c r="M3" s="120"/>
    </row>
    <row r="4" spans="1:13" s="3" customFormat="1" ht="24" customHeight="1" x14ac:dyDescent="0.3">
      <c r="A4" s="131"/>
      <c r="B4" s="120"/>
      <c r="C4" s="120"/>
      <c r="D4" s="120"/>
      <c r="E4" s="120" t="s">
        <v>5</v>
      </c>
      <c r="F4" s="120" t="s">
        <v>6</v>
      </c>
      <c r="G4" s="120" t="s">
        <v>5</v>
      </c>
      <c r="H4" s="120" t="s">
        <v>6</v>
      </c>
      <c r="I4" s="120" t="s">
        <v>5</v>
      </c>
      <c r="J4" s="120" t="s">
        <v>6</v>
      </c>
      <c r="K4" s="131" t="s">
        <v>34</v>
      </c>
      <c r="L4" s="120"/>
      <c r="M4" s="120"/>
    </row>
    <row r="5" spans="1:13" s="3" customFormat="1" ht="60.75" customHeight="1" x14ac:dyDescent="0.3">
      <c r="A5" s="131"/>
      <c r="B5" s="120"/>
      <c r="C5" s="120"/>
      <c r="D5" s="120"/>
      <c r="E5" s="120"/>
      <c r="F5" s="120"/>
      <c r="G5" s="120"/>
      <c r="H5" s="120"/>
      <c r="I5" s="120"/>
      <c r="J5" s="120"/>
      <c r="K5" s="103" t="s">
        <v>7</v>
      </c>
      <c r="L5" s="103" t="s">
        <v>8</v>
      </c>
      <c r="M5" s="103" t="s">
        <v>9</v>
      </c>
    </row>
    <row r="6" spans="1:13" s="3" customFormat="1" ht="18.75" x14ac:dyDescent="0.3">
      <c r="A6" s="131"/>
      <c r="B6" s="120" t="s">
        <v>10</v>
      </c>
      <c r="C6" s="120"/>
      <c r="D6" s="120"/>
      <c r="E6" s="103" t="s">
        <v>11</v>
      </c>
      <c r="F6" s="103" t="s">
        <v>12</v>
      </c>
      <c r="G6" s="103" t="s">
        <v>13</v>
      </c>
      <c r="H6" s="103" t="s">
        <v>14</v>
      </c>
      <c r="I6" s="103" t="s">
        <v>15</v>
      </c>
      <c r="J6" s="103" t="s">
        <v>16</v>
      </c>
      <c r="K6" s="103" t="s">
        <v>17</v>
      </c>
      <c r="L6" s="103" t="s">
        <v>18</v>
      </c>
      <c r="M6" s="103" t="s">
        <v>19</v>
      </c>
    </row>
    <row r="7" spans="1:13" s="3" customFormat="1" ht="18.75" x14ac:dyDescent="0.3">
      <c r="A7" s="100" t="s">
        <v>101</v>
      </c>
      <c r="B7" s="110" t="s">
        <v>21</v>
      </c>
      <c r="C7" s="110"/>
      <c r="D7" s="110"/>
      <c r="E7" s="99"/>
      <c r="F7" s="99"/>
      <c r="G7" s="99"/>
      <c r="H7" s="99"/>
      <c r="I7" s="99"/>
      <c r="J7" s="99"/>
      <c r="K7" s="99"/>
      <c r="L7" s="99"/>
      <c r="M7" s="99"/>
    </row>
    <row r="8" spans="1:13" s="3" customFormat="1" ht="18.75" x14ac:dyDescent="0.3">
      <c r="A8" s="100" t="s">
        <v>50</v>
      </c>
      <c r="B8" s="110" t="s">
        <v>22</v>
      </c>
      <c r="C8" s="110" t="s">
        <v>23</v>
      </c>
      <c r="D8" s="102" t="s">
        <v>24</v>
      </c>
      <c r="E8" s="103">
        <f>7+9+5+5</f>
        <v>26</v>
      </c>
      <c r="F8" s="103">
        <f>35+36.09+25+25</f>
        <v>121.09</v>
      </c>
      <c r="G8" s="103">
        <f>6+1+9+5+5</f>
        <v>26</v>
      </c>
      <c r="H8" s="103">
        <f>30+5+36.09+25+25</f>
        <v>121.09</v>
      </c>
      <c r="I8" s="103"/>
      <c r="J8" s="103"/>
      <c r="K8" s="103"/>
      <c r="L8" s="103"/>
      <c r="M8" s="103"/>
    </row>
    <row r="9" spans="1:13" s="3" customFormat="1" ht="37.5" x14ac:dyDescent="0.3">
      <c r="A9" s="100" t="s">
        <v>51</v>
      </c>
      <c r="B9" s="110"/>
      <c r="C9" s="110"/>
      <c r="D9" s="102" t="s">
        <v>25</v>
      </c>
      <c r="E9" s="103">
        <f>6+4+27</f>
        <v>37</v>
      </c>
      <c r="F9" s="103">
        <f>24.06+20+108</f>
        <v>152.06</v>
      </c>
      <c r="G9" s="103">
        <f>6+4+76</f>
        <v>86</v>
      </c>
      <c r="H9" s="103">
        <f>24.06+20+304</f>
        <v>348.06</v>
      </c>
      <c r="I9" s="103"/>
      <c r="J9" s="103"/>
      <c r="K9" s="103"/>
      <c r="L9" s="103"/>
      <c r="M9" s="103"/>
    </row>
    <row r="10" spans="1:13" s="3" customFormat="1" ht="18.75" x14ac:dyDescent="0.3">
      <c r="A10" s="100" t="s">
        <v>52</v>
      </c>
      <c r="B10" s="110"/>
      <c r="C10" s="110" t="s">
        <v>26</v>
      </c>
      <c r="D10" s="102" t="s">
        <v>24</v>
      </c>
      <c r="E10" s="103">
        <f>6+3+2+4</f>
        <v>15</v>
      </c>
      <c r="F10" s="103">
        <f>33.2+39.4+5.3+24</f>
        <v>101.89999999999999</v>
      </c>
      <c r="G10" s="103">
        <f>3+3+2+4</f>
        <v>12</v>
      </c>
      <c r="H10" s="103">
        <f>26.84+39.4+5.3+24</f>
        <v>95.539999999999992</v>
      </c>
      <c r="I10" s="103"/>
      <c r="J10" s="103"/>
      <c r="K10" s="103"/>
      <c r="L10" s="103"/>
      <c r="M10" s="103"/>
    </row>
    <row r="11" spans="1:13" s="3" customFormat="1" ht="37.5" x14ac:dyDescent="0.3">
      <c r="A11" s="100" t="s">
        <v>53</v>
      </c>
      <c r="B11" s="110"/>
      <c r="C11" s="110"/>
      <c r="D11" s="102" t="s">
        <v>25</v>
      </c>
      <c r="E11" s="103">
        <f>1+2</f>
        <v>3</v>
      </c>
      <c r="F11" s="103">
        <f>3+7.5</f>
        <v>10.5</v>
      </c>
      <c r="G11" s="103">
        <f>1+2</f>
        <v>3</v>
      </c>
      <c r="H11" s="103">
        <f>3+7.5</f>
        <v>10.5</v>
      </c>
      <c r="I11" s="103"/>
      <c r="J11" s="103"/>
      <c r="K11" s="103"/>
      <c r="L11" s="103"/>
      <c r="M11" s="103"/>
    </row>
    <row r="12" spans="1:13" s="3" customFormat="1" ht="37.5" x14ac:dyDescent="0.3">
      <c r="A12" s="100" t="s">
        <v>54</v>
      </c>
      <c r="B12" s="110" t="s">
        <v>27</v>
      </c>
      <c r="C12" s="98" t="s">
        <v>23</v>
      </c>
      <c r="D12" s="102" t="s">
        <v>25</v>
      </c>
      <c r="E12" s="103"/>
      <c r="F12" s="103"/>
      <c r="G12" s="103"/>
      <c r="H12" s="103"/>
      <c r="I12" s="103"/>
      <c r="J12" s="103"/>
      <c r="K12" s="103"/>
      <c r="L12" s="103"/>
      <c r="M12" s="103"/>
    </row>
    <row r="13" spans="1:13" s="3" customFormat="1" ht="37.5" x14ac:dyDescent="0.3">
      <c r="A13" s="100" t="s">
        <v>55</v>
      </c>
      <c r="B13" s="110"/>
      <c r="C13" s="98" t="s">
        <v>26</v>
      </c>
      <c r="D13" s="102" t="s">
        <v>25</v>
      </c>
      <c r="E13" s="103">
        <f>4</f>
        <v>4</v>
      </c>
      <c r="F13" s="103">
        <f>719.96</f>
        <v>719.96</v>
      </c>
      <c r="G13" s="103">
        <f>6</f>
        <v>6</v>
      </c>
      <c r="H13" s="103">
        <f>585.3</f>
        <v>585.29999999999995</v>
      </c>
      <c r="I13" s="103"/>
      <c r="J13" s="103"/>
      <c r="K13" s="103"/>
      <c r="L13" s="103"/>
      <c r="M13" s="103"/>
    </row>
    <row r="14" spans="1:13" s="3" customFormat="1" ht="37.5" x14ac:dyDescent="0.3">
      <c r="A14" s="100">
        <v>8</v>
      </c>
      <c r="B14" s="110" t="s">
        <v>28</v>
      </c>
      <c r="C14" s="98" t="s">
        <v>23</v>
      </c>
      <c r="D14" s="102" t="s">
        <v>25</v>
      </c>
      <c r="E14" s="103"/>
      <c r="F14" s="103"/>
      <c r="G14" s="103"/>
      <c r="H14" s="103"/>
      <c r="I14" s="103"/>
      <c r="J14" s="103"/>
      <c r="K14" s="103"/>
      <c r="L14" s="103"/>
      <c r="M14" s="103"/>
    </row>
    <row r="15" spans="1:13" s="3" customFormat="1" ht="37.5" x14ac:dyDescent="0.3">
      <c r="A15" s="100" t="s">
        <v>57</v>
      </c>
      <c r="B15" s="110"/>
      <c r="C15" s="98" t="s">
        <v>26</v>
      </c>
      <c r="D15" s="102" t="s">
        <v>25</v>
      </c>
      <c r="E15" s="103"/>
      <c r="F15" s="103"/>
      <c r="G15" s="103"/>
      <c r="H15" s="103"/>
      <c r="I15" s="103"/>
      <c r="J15" s="103"/>
      <c r="K15" s="103"/>
      <c r="L15" s="103"/>
      <c r="M15" s="103"/>
    </row>
    <row r="16" spans="1:13" s="3" customFormat="1" ht="18.75" x14ac:dyDescent="0.3">
      <c r="A16" s="98" t="s">
        <v>19</v>
      </c>
      <c r="B16" s="110" t="s">
        <v>29</v>
      </c>
      <c r="C16" s="110"/>
      <c r="D16" s="110"/>
      <c r="E16" s="103"/>
      <c r="F16" s="103"/>
      <c r="G16" s="103"/>
      <c r="H16" s="103"/>
      <c r="I16" s="103"/>
      <c r="J16" s="103"/>
      <c r="K16" s="103"/>
      <c r="L16" s="103"/>
      <c r="M16" s="103"/>
    </row>
    <row r="17" spans="1:16" s="95" customFormat="1" ht="18.75" x14ac:dyDescent="0.3">
      <c r="A17" s="104" t="s">
        <v>71</v>
      </c>
      <c r="B17" s="123" t="s">
        <v>78</v>
      </c>
      <c r="C17" s="123"/>
      <c r="D17" s="123"/>
      <c r="E17" s="105">
        <f>E8+E9+E10+E11+E12+E13+E14+E15+E16</f>
        <v>85</v>
      </c>
      <c r="F17" s="105">
        <f t="shared" ref="F17:M17" si="0">F8+F9+F10+F11+F12+F13+F14+F15+F16</f>
        <v>1105.51</v>
      </c>
      <c r="G17" s="105">
        <f t="shared" si="0"/>
        <v>133</v>
      </c>
      <c r="H17" s="105">
        <f t="shared" si="0"/>
        <v>1160.4899999999998</v>
      </c>
      <c r="I17" s="105">
        <f t="shared" si="0"/>
        <v>0</v>
      </c>
      <c r="J17" s="105">
        <f t="shared" si="0"/>
        <v>0</v>
      </c>
      <c r="K17" s="105">
        <f t="shared" si="0"/>
        <v>0</v>
      </c>
      <c r="L17" s="105">
        <f t="shared" si="0"/>
        <v>0</v>
      </c>
      <c r="M17" s="105">
        <f t="shared" si="0"/>
        <v>0</v>
      </c>
    </row>
    <row r="18" spans="1:16" s="3" customFormat="1" ht="18.75" x14ac:dyDescent="0.3">
      <c r="A18" s="98" t="s">
        <v>32</v>
      </c>
      <c r="B18" s="110" t="s">
        <v>33</v>
      </c>
      <c r="C18" s="110"/>
      <c r="D18" s="110"/>
      <c r="E18" s="103"/>
      <c r="F18" s="103"/>
      <c r="G18" s="103"/>
      <c r="H18" s="103"/>
      <c r="I18" s="103"/>
      <c r="J18" s="103"/>
      <c r="K18" s="103"/>
      <c r="L18" s="103"/>
      <c r="M18" s="103"/>
    </row>
    <row r="21" spans="1:16" customFormat="1" x14ac:dyDescent="0.2">
      <c r="E21" s="6"/>
      <c r="F21" s="6"/>
      <c r="G21" s="6"/>
      <c r="H21" s="6"/>
      <c r="I21" s="6"/>
      <c r="J21" s="6"/>
      <c r="K21" s="6"/>
      <c r="L21" s="6"/>
      <c r="M21" s="6"/>
    </row>
    <row r="22" spans="1:16" s="1" customFormat="1" ht="18.75" x14ac:dyDescent="0.3">
      <c r="A22" s="7" t="s">
        <v>35</v>
      </c>
      <c r="E22" s="2"/>
      <c r="F22" s="2"/>
      <c r="G22" s="2"/>
      <c r="H22" s="2"/>
      <c r="I22" s="2"/>
      <c r="J22" s="2"/>
      <c r="K22" s="2"/>
      <c r="L22" s="2"/>
      <c r="M22" s="2"/>
    </row>
    <row r="23" spans="1:16" s="1" customFormat="1" ht="18.75" x14ac:dyDescent="0.3">
      <c r="E23" s="2"/>
      <c r="F23" s="2"/>
      <c r="G23" s="2"/>
      <c r="H23" s="2"/>
      <c r="I23" s="2"/>
      <c r="J23" s="2"/>
      <c r="K23" s="2"/>
      <c r="L23" s="2"/>
      <c r="M23" s="2"/>
    </row>
    <row r="24" spans="1:16" s="1" customFormat="1" ht="36.75" customHeight="1" x14ac:dyDescent="0.3">
      <c r="A24" s="111" t="s">
        <v>103</v>
      </c>
      <c r="B24" s="112"/>
      <c r="C24" s="112"/>
      <c r="D24" s="112"/>
      <c r="E24" s="112"/>
      <c r="F24" s="112"/>
      <c r="G24" s="112"/>
      <c r="H24" s="112"/>
      <c r="I24" s="112"/>
      <c r="J24" s="112"/>
      <c r="K24" s="112"/>
      <c r="L24" s="112"/>
      <c r="M24" s="112"/>
      <c r="N24" s="112"/>
      <c r="O24" s="112"/>
      <c r="P24" s="112"/>
    </row>
    <row r="25" spans="1:16" s="1" customFormat="1" ht="18.75" x14ac:dyDescent="0.3">
      <c r="E25" s="2"/>
      <c r="F25" s="2"/>
      <c r="G25" s="2"/>
      <c r="H25" s="2"/>
      <c r="I25" s="2"/>
      <c r="J25" s="2"/>
      <c r="K25" s="2"/>
      <c r="L25" s="2"/>
      <c r="M25" s="2"/>
    </row>
    <row r="26" spans="1:16" s="94" customFormat="1" ht="60" customHeight="1" x14ac:dyDescent="0.2">
      <c r="A26" s="133" t="s">
        <v>0</v>
      </c>
      <c r="B26" s="136" t="s">
        <v>36</v>
      </c>
      <c r="C26" s="136"/>
      <c r="D26" s="136"/>
      <c r="E26" s="131" t="s">
        <v>37</v>
      </c>
      <c r="F26" s="131"/>
      <c r="G26" s="136" t="s">
        <v>79</v>
      </c>
      <c r="H26" s="136"/>
      <c r="I26" s="136"/>
      <c r="J26" s="136"/>
      <c r="K26" s="136"/>
      <c r="L26" s="136"/>
      <c r="M26" s="131" t="s">
        <v>38</v>
      </c>
      <c r="N26" s="131"/>
      <c r="O26" s="131" t="s">
        <v>39</v>
      </c>
      <c r="P26" s="131"/>
    </row>
    <row r="27" spans="1:16" s="94" customFormat="1" ht="20.25" customHeight="1" x14ac:dyDescent="0.2">
      <c r="A27" s="134"/>
      <c r="B27" s="136"/>
      <c r="C27" s="136"/>
      <c r="D27" s="136"/>
      <c r="E27" s="122" t="s">
        <v>40</v>
      </c>
      <c r="F27" s="125" t="s">
        <v>41</v>
      </c>
      <c r="G27" s="122" t="s">
        <v>40</v>
      </c>
      <c r="H27" s="125" t="s">
        <v>41</v>
      </c>
      <c r="I27" s="136" t="s">
        <v>42</v>
      </c>
      <c r="J27" s="136"/>
      <c r="K27" s="136"/>
      <c r="L27" s="136"/>
      <c r="M27" s="122" t="s">
        <v>40</v>
      </c>
      <c r="N27" s="125" t="s">
        <v>41</v>
      </c>
      <c r="O27" s="122" t="s">
        <v>40</v>
      </c>
      <c r="P27" s="125" t="s">
        <v>41</v>
      </c>
    </row>
    <row r="28" spans="1:16" s="94" customFormat="1" ht="18.75" x14ac:dyDescent="0.2">
      <c r="A28" s="134"/>
      <c r="B28" s="136"/>
      <c r="C28" s="136"/>
      <c r="D28" s="136"/>
      <c r="E28" s="122"/>
      <c r="F28" s="125"/>
      <c r="G28" s="122"/>
      <c r="H28" s="125"/>
      <c r="I28" s="131" t="s">
        <v>43</v>
      </c>
      <c r="J28" s="136" t="s">
        <v>44</v>
      </c>
      <c r="K28" s="136"/>
      <c r="L28" s="107" t="s">
        <v>45</v>
      </c>
      <c r="M28" s="122"/>
      <c r="N28" s="125"/>
      <c r="O28" s="122"/>
      <c r="P28" s="125"/>
    </row>
    <row r="29" spans="1:16" s="94" customFormat="1" ht="96" customHeight="1" x14ac:dyDescent="0.2">
      <c r="A29" s="135"/>
      <c r="B29" s="136"/>
      <c r="C29" s="136"/>
      <c r="D29" s="136"/>
      <c r="E29" s="122"/>
      <c r="F29" s="125"/>
      <c r="G29" s="122"/>
      <c r="H29" s="125"/>
      <c r="I29" s="131"/>
      <c r="J29" s="105" t="s">
        <v>46</v>
      </c>
      <c r="K29" s="105" t="s">
        <v>47</v>
      </c>
      <c r="L29" s="105" t="s">
        <v>48</v>
      </c>
      <c r="M29" s="122"/>
      <c r="N29" s="125"/>
      <c r="O29" s="122"/>
      <c r="P29" s="125"/>
    </row>
    <row r="30" spans="1:16" s="94" customFormat="1" ht="18.75" x14ac:dyDescent="0.2">
      <c r="A30" s="107"/>
      <c r="B30" s="136" t="s">
        <v>49</v>
      </c>
      <c r="C30" s="136"/>
      <c r="D30" s="136"/>
      <c r="E30" s="107" t="s">
        <v>50</v>
      </c>
      <c r="F30" s="107" t="s">
        <v>51</v>
      </c>
      <c r="G30" s="107" t="s">
        <v>52</v>
      </c>
      <c r="H30" s="107" t="s">
        <v>53</v>
      </c>
      <c r="I30" s="107" t="s">
        <v>54</v>
      </c>
      <c r="J30" s="107" t="s">
        <v>55</v>
      </c>
      <c r="K30" s="107" t="s">
        <v>56</v>
      </c>
      <c r="L30" s="107" t="s">
        <v>57</v>
      </c>
      <c r="M30" s="107" t="s">
        <v>58</v>
      </c>
      <c r="N30" s="107">
        <v>11</v>
      </c>
      <c r="O30" s="107" t="s">
        <v>59</v>
      </c>
      <c r="P30" s="107" t="s">
        <v>60</v>
      </c>
    </row>
    <row r="31" spans="1:16" s="1" customFormat="1" ht="18.75" x14ac:dyDescent="0.3">
      <c r="A31" s="107" t="s">
        <v>49</v>
      </c>
      <c r="B31" s="122" t="s">
        <v>61</v>
      </c>
      <c r="C31" s="138" t="s">
        <v>62</v>
      </c>
      <c r="D31" s="89" t="s">
        <v>63</v>
      </c>
      <c r="E31" s="103">
        <f>5+8+7+4+8</f>
        <v>32</v>
      </c>
      <c r="F31" s="103">
        <f>25+40+28.07+18+40</f>
        <v>151.07</v>
      </c>
      <c r="G31" s="101"/>
      <c r="H31" s="101"/>
      <c r="I31" s="101"/>
      <c r="J31" s="101"/>
      <c r="K31" s="101"/>
      <c r="L31" s="101"/>
      <c r="M31" s="103">
        <f>8+5+7+4+7</f>
        <v>31</v>
      </c>
      <c r="N31" s="103">
        <f>25+40+28.07+18+35</f>
        <v>146.07</v>
      </c>
      <c r="O31" s="103">
        <f>4+5+5+6+7</f>
        <v>27</v>
      </c>
      <c r="P31" s="103">
        <f>20+25+20.05+33.11+35</f>
        <v>133.16</v>
      </c>
    </row>
    <row r="32" spans="1:16" s="1" customFormat="1" ht="37.5" x14ac:dyDescent="0.3">
      <c r="A32" s="107" t="s">
        <v>50</v>
      </c>
      <c r="B32" s="122"/>
      <c r="C32" s="138"/>
      <c r="D32" s="90" t="s">
        <v>64</v>
      </c>
      <c r="E32" s="101">
        <f>4+7+27</f>
        <v>38</v>
      </c>
      <c r="F32" s="101">
        <f>16.04+60+108</f>
        <v>184.04</v>
      </c>
      <c r="G32" s="101"/>
      <c r="H32" s="101"/>
      <c r="I32" s="101"/>
      <c r="J32" s="101"/>
      <c r="K32" s="101"/>
      <c r="L32" s="101"/>
      <c r="M32" s="109">
        <f>4+7+27</f>
        <v>38</v>
      </c>
      <c r="N32" s="109">
        <f>16.04+60+108</f>
        <v>184.04</v>
      </c>
      <c r="O32" s="101">
        <f>6+14+27</f>
        <v>47</v>
      </c>
      <c r="P32" s="101">
        <f>24.06+82+108</f>
        <v>214.06</v>
      </c>
    </row>
    <row r="33" spans="1:16" s="1" customFormat="1" ht="18.75" x14ac:dyDescent="0.3">
      <c r="A33" s="107" t="s">
        <v>51</v>
      </c>
      <c r="B33" s="122"/>
      <c r="C33" s="138" t="s">
        <v>65</v>
      </c>
      <c r="D33" s="89" t="s">
        <v>63</v>
      </c>
      <c r="E33" s="101">
        <f>4+32+1+6</f>
        <v>43</v>
      </c>
      <c r="F33" s="101">
        <f>31.84+40+2.54+30</f>
        <v>104.38000000000001</v>
      </c>
      <c r="G33" s="101"/>
      <c r="H33" s="101"/>
      <c r="I33" s="101"/>
      <c r="J33" s="101"/>
      <c r="K33" s="101"/>
      <c r="L33" s="101"/>
      <c r="M33" s="109">
        <f>4+3+1+6</f>
        <v>14</v>
      </c>
      <c r="N33" s="109">
        <f>31.84+40+2.54+30</f>
        <v>104.38000000000001</v>
      </c>
      <c r="O33" s="101">
        <f>2+2+1</f>
        <v>5</v>
      </c>
      <c r="P33" s="101">
        <f>8.2+19.8+2.54</f>
        <v>30.54</v>
      </c>
    </row>
    <row r="34" spans="1:16" s="1" customFormat="1" ht="37.5" x14ac:dyDescent="0.3">
      <c r="A34" s="107" t="s">
        <v>52</v>
      </c>
      <c r="B34" s="122"/>
      <c r="C34" s="138"/>
      <c r="D34" s="91" t="s">
        <v>25</v>
      </c>
      <c r="E34" s="101">
        <f>1+2</f>
        <v>3</v>
      </c>
      <c r="F34" s="101">
        <f>3+7.5</f>
        <v>10.5</v>
      </c>
      <c r="G34" s="101"/>
      <c r="H34" s="101"/>
      <c r="I34" s="101"/>
      <c r="J34" s="101"/>
      <c r="K34" s="101"/>
      <c r="L34" s="101"/>
      <c r="M34" s="109">
        <f>1+2</f>
        <v>3</v>
      </c>
      <c r="N34" s="109">
        <f>3+7.5</f>
        <v>10.5</v>
      </c>
      <c r="O34" s="101"/>
      <c r="P34" s="101"/>
    </row>
    <row r="35" spans="1:16" s="1" customFormat="1" ht="37.5" x14ac:dyDescent="0.3">
      <c r="A35" s="107" t="s">
        <v>53</v>
      </c>
      <c r="B35" s="125" t="s">
        <v>66</v>
      </c>
      <c r="C35" s="108" t="s">
        <v>62</v>
      </c>
      <c r="D35" s="91" t="s">
        <v>25</v>
      </c>
      <c r="E35" s="101"/>
      <c r="F35" s="101"/>
      <c r="G35" s="101"/>
      <c r="H35" s="101"/>
      <c r="I35" s="101"/>
      <c r="J35" s="101"/>
      <c r="K35" s="101"/>
      <c r="L35" s="101"/>
      <c r="M35" s="101"/>
      <c r="N35" s="101"/>
      <c r="O35" s="101"/>
      <c r="P35" s="101"/>
    </row>
    <row r="36" spans="1:16" s="1" customFormat="1" ht="51" customHeight="1" x14ac:dyDescent="0.3">
      <c r="A36" s="107" t="s">
        <v>54</v>
      </c>
      <c r="B36" s="125"/>
      <c r="C36" s="108" t="s">
        <v>65</v>
      </c>
      <c r="D36" s="91" t="s">
        <v>25</v>
      </c>
      <c r="E36" s="101">
        <f>5+1+2+1</f>
        <v>9</v>
      </c>
      <c r="F36" s="101">
        <f>638.1+1877.9+76.34+784</f>
        <v>3376.34</v>
      </c>
      <c r="G36" s="101"/>
      <c r="H36" s="101"/>
      <c r="I36" s="101"/>
      <c r="J36" s="101"/>
      <c r="K36" s="101"/>
      <c r="L36" s="101"/>
      <c r="M36" s="109">
        <f>5+1+2+1</f>
        <v>9</v>
      </c>
      <c r="N36" s="109">
        <f>638.1+1877.9+76.34+784</f>
        <v>3376.34</v>
      </c>
      <c r="O36" s="101">
        <f>1</f>
        <v>1</v>
      </c>
      <c r="P36" s="101">
        <f>21.34</f>
        <v>21.34</v>
      </c>
    </row>
    <row r="37" spans="1:16" s="1" customFormat="1" ht="51.75" customHeight="1" x14ac:dyDescent="0.3">
      <c r="A37" s="107" t="s">
        <v>55</v>
      </c>
      <c r="B37" s="125" t="s">
        <v>67</v>
      </c>
      <c r="C37" s="108" t="s">
        <v>62</v>
      </c>
      <c r="D37" s="91" t="s">
        <v>25</v>
      </c>
      <c r="E37" s="101"/>
      <c r="F37" s="101"/>
      <c r="G37" s="101"/>
      <c r="H37" s="101"/>
      <c r="I37" s="101"/>
      <c r="J37" s="101"/>
      <c r="K37" s="101"/>
      <c r="L37" s="101"/>
      <c r="M37" s="101"/>
      <c r="N37" s="101"/>
      <c r="O37" s="101"/>
      <c r="P37" s="101"/>
    </row>
    <row r="38" spans="1:16" s="1" customFormat="1" ht="37.5" x14ac:dyDescent="0.3">
      <c r="A38" s="107" t="s">
        <v>56</v>
      </c>
      <c r="B38" s="125"/>
      <c r="C38" s="93" t="s">
        <v>26</v>
      </c>
      <c r="D38" s="91" t="s">
        <v>25</v>
      </c>
      <c r="E38" s="101"/>
      <c r="F38" s="101"/>
      <c r="G38" s="101"/>
      <c r="H38" s="101"/>
      <c r="I38" s="101"/>
      <c r="J38" s="101"/>
      <c r="K38" s="101"/>
      <c r="L38" s="101"/>
      <c r="M38" s="101"/>
      <c r="N38" s="101"/>
      <c r="O38" s="101"/>
      <c r="P38" s="101"/>
    </row>
    <row r="39" spans="1:16" s="1" customFormat="1" ht="58.5" customHeight="1" x14ac:dyDescent="0.3">
      <c r="A39" s="107" t="s">
        <v>57</v>
      </c>
      <c r="B39" s="125" t="s">
        <v>68</v>
      </c>
      <c r="C39" s="138" t="s">
        <v>69</v>
      </c>
      <c r="D39" s="138"/>
      <c r="E39" s="101"/>
      <c r="F39" s="101"/>
      <c r="G39" s="101"/>
      <c r="H39" s="101"/>
      <c r="I39" s="101"/>
      <c r="J39" s="101"/>
      <c r="K39" s="101"/>
      <c r="L39" s="101"/>
      <c r="M39" s="101"/>
      <c r="N39" s="101"/>
      <c r="O39" s="101"/>
      <c r="P39" s="101"/>
    </row>
    <row r="40" spans="1:16" s="1" customFormat="1" ht="36.75" customHeight="1" x14ac:dyDescent="0.3">
      <c r="A40" s="107" t="s">
        <v>58</v>
      </c>
      <c r="B40" s="125"/>
      <c r="C40" s="138" t="s">
        <v>70</v>
      </c>
      <c r="D40" s="138"/>
      <c r="E40" s="101"/>
      <c r="F40" s="101"/>
      <c r="G40" s="101"/>
      <c r="H40" s="101"/>
      <c r="I40" s="101"/>
      <c r="J40" s="101"/>
      <c r="K40" s="101"/>
      <c r="L40" s="101"/>
      <c r="M40" s="101"/>
      <c r="N40" s="101"/>
      <c r="O40" s="101"/>
      <c r="P40" s="101"/>
    </row>
    <row r="41" spans="1:16" s="1" customFormat="1" ht="60" customHeight="1" x14ac:dyDescent="0.3">
      <c r="A41" s="107" t="s">
        <v>71</v>
      </c>
      <c r="B41" s="125"/>
      <c r="C41" s="138" t="s">
        <v>72</v>
      </c>
      <c r="D41" s="138"/>
      <c r="E41" s="101"/>
      <c r="F41" s="101"/>
      <c r="G41" s="101"/>
      <c r="H41" s="101"/>
      <c r="I41" s="101"/>
      <c r="J41" s="101"/>
      <c r="K41" s="101"/>
      <c r="L41" s="101"/>
      <c r="M41" s="101"/>
      <c r="N41" s="101"/>
      <c r="O41" s="101"/>
      <c r="P41" s="101"/>
    </row>
    <row r="42" spans="1:16" s="1" customFormat="1" ht="24" customHeight="1" x14ac:dyDescent="0.3">
      <c r="A42" s="107" t="s">
        <v>59</v>
      </c>
      <c r="B42" s="125"/>
      <c r="C42" s="139" t="s">
        <v>73</v>
      </c>
      <c r="D42" s="139"/>
      <c r="E42" s="101"/>
      <c r="F42" s="101"/>
      <c r="G42" s="101"/>
      <c r="H42" s="101"/>
      <c r="I42" s="101"/>
      <c r="J42" s="101"/>
      <c r="K42" s="101"/>
      <c r="L42" s="101"/>
      <c r="M42" s="101"/>
      <c r="N42" s="101"/>
      <c r="O42" s="101"/>
      <c r="P42" s="101"/>
    </row>
    <row r="43" spans="1:16" s="1" customFormat="1" ht="63.75" customHeight="1" x14ac:dyDescent="0.3">
      <c r="A43" s="107" t="s">
        <v>60</v>
      </c>
      <c r="B43" s="125"/>
      <c r="C43" s="138" t="s">
        <v>74</v>
      </c>
      <c r="D43" s="138"/>
      <c r="E43" s="101"/>
      <c r="F43" s="101"/>
      <c r="G43" s="101"/>
      <c r="H43" s="101"/>
      <c r="I43" s="101"/>
      <c r="J43" s="101"/>
      <c r="K43" s="101"/>
      <c r="L43" s="101"/>
      <c r="M43" s="101"/>
      <c r="N43" s="101"/>
      <c r="O43" s="101"/>
      <c r="P43" s="101"/>
    </row>
    <row r="44" spans="1:16" s="1" customFormat="1" ht="59.25" customHeight="1" x14ac:dyDescent="0.3">
      <c r="A44" s="107" t="s">
        <v>75</v>
      </c>
      <c r="B44" s="125"/>
      <c r="C44" s="138" t="s">
        <v>76</v>
      </c>
      <c r="D44" s="138"/>
      <c r="E44" s="101"/>
      <c r="F44" s="101"/>
      <c r="G44" s="101"/>
      <c r="H44" s="101"/>
      <c r="I44" s="101"/>
      <c r="J44" s="101"/>
      <c r="K44" s="101"/>
      <c r="L44" s="101"/>
      <c r="M44" s="101"/>
      <c r="N44" s="101"/>
      <c r="O44" s="101"/>
      <c r="P44" s="101"/>
    </row>
    <row r="45" spans="1:16" s="88" customFormat="1" ht="18.75" x14ac:dyDescent="0.3">
      <c r="A45" s="106" t="s">
        <v>77</v>
      </c>
      <c r="B45" s="124" t="s">
        <v>78</v>
      </c>
      <c r="C45" s="124"/>
      <c r="D45" s="124"/>
      <c r="E45" s="105">
        <f>E31+E32+E33+E34+E35+E36+E37+E38+E39+E40+E41+E43+E42+E44</f>
        <v>125</v>
      </c>
      <c r="F45" s="105">
        <f t="shared" ref="F45:P45" si="1">F31+F32+F33+F34+F35+F36+F37+F38+F39+F40+F41+F43+F42+F44</f>
        <v>3826.33</v>
      </c>
      <c r="G45" s="105">
        <f t="shared" si="1"/>
        <v>0</v>
      </c>
      <c r="H45" s="105">
        <f t="shared" si="1"/>
        <v>0</v>
      </c>
      <c r="I45" s="105">
        <f t="shared" si="1"/>
        <v>0</v>
      </c>
      <c r="J45" s="105">
        <f t="shared" si="1"/>
        <v>0</v>
      </c>
      <c r="K45" s="105">
        <f t="shared" si="1"/>
        <v>0</v>
      </c>
      <c r="L45" s="105">
        <f t="shared" si="1"/>
        <v>0</v>
      </c>
      <c r="M45" s="105">
        <f t="shared" si="1"/>
        <v>95</v>
      </c>
      <c r="N45" s="105">
        <f t="shared" si="1"/>
        <v>3821.33</v>
      </c>
      <c r="O45" s="105">
        <f t="shared" si="1"/>
        <v>80</v>
      </c>
      <c r="P45" s="105">
        <f t="shared" si="1"/>
        <v>399.1</v>
      </c>
    </row>
    <row r="46" spans="1:16" customFormat="1" x14ac:dyDescent="0.2">
      <c r="E46" s="6"/>
      <c r="F46" s="6"/>
      <c r="G46" s="6"/>
      <c r="H46" s="6"/>
      <c r="I46" s="6"/>
      <c r="J46" s="6"/>
      <c r="K46" s="6"/>
      <c r="L46" s="6"/>
      <c r="M46" s="6"/>
    </row>
    <row r="47" spans="1:16" ht="18.75" x14ac:dyDescent="0.2">
      <c r="A47" s="32" t="s">
        <v>86</v>
      </c>
    </row>
  </sheetData>
  <mergeCells count="55">
    <mergeCell ref="A1:M1"/>
    <mergeCell ref="A3:A6"/>
    <mergeCell ref="B3:D5"/>
    <mergeCell ref="E3:F3"/>
    <mergeCell ref="G3:H3"/>
    <mergeCell ref="I3:M3"/>
    <mergeCell ref="E4:E5"/>
    <mergeCell ref="F4:F5"/>
    <mergeCell ref="G4:G5"/>
    <mergeCell ref="H4:H5"/>
    <mergeCell ref="A24:P24"/>
    <mergeCell ref="I4:I5"/>
    <mergeCell ref="J4:J5"/>
    <mergeCell ref="K4:M4"/>
    <mergeCell ref="B6:D6"/>
    <mergeCell ref="B7:D7"/>
    <mergeCell ref="B8:B11"/>
    <mergeCell ref="C8:C9"/>
    <mergeCell ref="C10:C11"/>
    <mergeCell ref="B12:B13"/>
    <mergeCell ref="B14:B15"/>
    <mergeCell ref="B16:D16"/>
    <mergeCell ref="B17:D17"/>
    <mergeCell ref="B18:D18"/>
    <mergeCell ref="P27:P29"/>
    <mergeCell ref="I28:I29"/>
    <mergeCell ref="J28:K28"/>
    <mergeCell ref="A26:A29"/>
    <mergeCell ref="B26:D29"/>
    <mergeCell ref="E26:F26"/>
    <mergeCell ref="G26:L26"/>
    <mergeCell ref="M26:N26"/>
    <mergeCell ref="O26:P26"/>
    <mergeCell ref="E27:E29"/>
    <mergeCell ref="F27:F29"/>
    <mergeCell ref="G27:G29"/>
    <mergeCell ref="H27:H29"/>
    <mergeCell ref="B37:B38"/>
    <mergeCell ref="I27:L27"/>
    <mergeCell ref="M27:M29"/>
    <mergeCell ref="N27:N29"/>
    <mergeCell ref="O27:O29"/>
    <mergeCell ref="B30:D30"/>
    <mergeCell ref="B31:B34"/>
    <mergeCell ref="C31:C32"/>
    <mergeCell ref="C33:C34"/>
    <mergeCell ref="B35:B36"/>
    <mergeCell ref="B45:D45"/>
    <mergeCell ref="B39:B44"/>
    <mergeCell ref="C39:D39"/>
    <mergeCell ref="C40:D40"/>
    <mergeCell ref="C41:D41"/>
    <mergeCell ref="C42:D42"/>
    <mergeCell ref="C43:D43"/>
    <mergeCell ref="C44:D44"/>
  </mergeCells>
  <pageMargins left="0.7" right="0.7" top="0.75" bottom="0.75" header="0.3" footer="0.3"/>
  <pageSetup paperSize="9" scale="32" orientation="landscape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O40" sqref="O40"/>
    </sheetView>
  </sheetViews>
  <sheetFormatPr defaultRowHeight="12.7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6"/>
  <sheetViews>
    <sheetView workbookViewId="0">
      <selection activeCell="N32" sqref="N32"/>
    </sheetView>
  </sheetViews>
  <sheetFormatPr defaultRowHeight="12.75" x14ac:dyDescent="0.2"/>
  <cols>
    <col min="1" max="1" width="4.5703125" style="4" customWidth="1"/>
    <col min="2" max="2" width="18" style="4" customWidth="1"/>
    <col min="3" max="3" width="18.28515625" style="4" customWidth="1"/>
    <col min="4" max="4" width="28.85546875" style="4" customWidth="1"/>
    <col min="5" max="5" width="15.5703125" style="5" customWidth="1"/>
    <col min="6" max="6" width="9.5703125" style="5" customWidth="1"/>
    <col min="7" max="7" width="16" style="5" customWidth="1"/>
    <col min="8" max="8" width="10.140625" style="5" customWidth="1"/>
    <col min="9" max="9" width="16" style="5" customWidth="1"/>
    <col min="10" max="10" width="13.7109375" style="5" bestFit="1" customWidth="1"/>
    <col min="11" max="11" width="16.85546875" style="5" customWidth="1"/>
    <col min="12" max="12" width="21.5703125" style="5" customWidth="1"/>
    <col min="13" max="13" width="21.42578125" style="5" customWidth="1"/>
    <col min="14" max="16384" width="9.140625" style="4"/>
  </cols>
  <sheetData>
    <row r="1" spans="1:13" s="1" customFormat="1" ht="18.75" x14ac:dyDescent="0.3">
      <c r="A1" s="111" t="s">
        <v>84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</row>
    <row r="2" spans="1:13" s="1" customFormat="1" ht="18.75" x14ac:dyDescent="0.3">
      <c r="E2" s="2"/>
      <c r="F2" s="2"/>
      <c r="G2" s="2"/>
      <c r="H2" s="2"/>
      <c r="I2" s="2"/>
      <c r="J2" s="2"/>
      <c r="K2" s="2"/>
      <c r="L2" s="2"/>
      <c r="M2" s="2"/>
    </row>
    <row r="3" spans="1:13" s="3" customFormat="1" ht="18.75" x14ac:dyDescent="0.3">
      <c r="A3" s="110" t="s">
        <v>0</v>
      </c>
      <c r="B3" s="110" t="s">
        <v>1</v>
      </c>
      <c r="C3" s="110"/>
      <c r="D3" s="110"/>
      <c r="E3" s="113" t="s">
        <v>2</v>
      </c>
      <c r="F3" s="113"/>
      <c r="G3" s="113" t="s">
        <v>3</v>
      </c>
      <c r="H3" s="113"/>
      <c r="I3" s="113" t="s">
        <v>4</v>
      </c>
      <c r="J3" s="113"/>
      <c r="K3" s="113"/>
      <c r="L3" s="113"/>
      <c r="M3" s="113"/>
    </row>
    <row r="4" spans="1:13" s="3" customFormat="1" ht="18.75" x14ac:dyDescent="0.3">
      <c r="A4" s="110"/>
      <c r="B4" s="110"/>
      <c r="C4" s="110"/>
      <c r="D4" s="110"/>
      <c r="E4" s="113" t="s">
        <v>5</v>
      </c>
      <c r="F4" s="113" t="s">
        <v>6</v>
      </c>
      <c r="G4" s="113" t="s">
        <v>5</v>
      </c>
      <c r="H4" s="113" t="s">
        <v>6</v>
      </c>
      <c r="I4" s="113" t="s">
        <v>5</v>
      </c>
      <c r="J4" s="113" t="s">
        <v>6</v>
      </c>
      <c r="K4" s="114" t="s">
        <v>34</v>
      </c>
      <c r="L4" s="113"/>
      <c r="M4" s="113"/>
    </row>
    <row r="5" spans="1:13" s="3" customFormat="1" ht="56.25" x14ac:dyDescent="0.3">
      <c r="A5" s="110"/>
      <c r="B5" s="110"/>
      <c r="C5" s="110"/>
      <c r="D5" s="110"/>
      <c r="E5" s="113"/>
      <c r="F5" s="113"/>
      <c r="G5" s="113"/>
      <c r="H5" s="113"/>
      <c r="I5" s="113"/>
      <c r="J5" s="113"/>
      <c r="K5" s="24" t="s">
        <v>7</v>
      </c>
      <c r="L5" s="24" t="s">
        <v>8</v>
      </c>
      <c r="M5" s="24" t="s">
        <v>9</v>
      </c>
    </row>
    <row r="6" spans="1:13" s="3" customFormat="1" ht="18.75" x14ac:dyDescent="0.3">
      <c r="A6" s="110"/>
      <c r="B6" s="110" t="s">
        <v>10</v>
      </c>
      <c r="C6" s="110"/>
      <c r="D6" s="110"/>
      <c r="E6" s="24" t="s">
        <v>11</v>
      </c>
      <c r="F6" s="24" t="s">
        <v>12</v>
      </c>
      <c r="G6" s="24" t="s">
        <v>13</v>
      </c>
      <c r="H6" s="24" t="s">
        <v>14</v>
      </c>
      <c r="I6" s="24" t="s">
        <v>15</v>
      </c>
      <c r="J6" s="24" t="s">
        <v>16</v>
      </c>
      <c r="K6" s="24" t="s">
        <v>17</v>
      </c>
      <c r="L6" s="24" t="s">
        <v>18</v>
      </c>
      <c r="M6" s="24" t="s">
        <v>19</v>
      </c>
    </row>
    <row r="7" spans="1:13" s="3" customFormat="1" ht="18.75" x14ac:dyDescent="0.3">
      <c r="A7" s="23" t="s">
        <v>20</v>
      </c>
      <c r="B7" s="110" t="s">
        <v>21</v>
      </c>
      <c r="C7" s="110"/>
      <c r="D7" s="110"/>
      <c r="E7" s="24"/>
      <c r="F7" s="24"/>
      <c r="G7" s="24"/>
      <c r="H7" s="24"/>
      <c r="I7" s="24"/>
      <c r="J7" s="24"/>
      <c r="K7" s="24"/>
      <c r="L7" s="24"/>
      <c r="M7" s="24"/>
    </row>
    <row r="8" spans="1:13" s="3" customFormat="1" ht="18.75" x14ac:dyDescent="0.3">
      <c r="A8" s="23" t="s">
        <v>11</v>
      </c>
      <c r="B8" s="110" t="s">
        <v>22</v>
      </c>
      <c r="C8" s="110" t="s">
        <v>23</v>
      </c>
      <c r="D8" s="27" t="s">
        <v>24</v>
      </c>
      <c r="E8" s="24">
        <f>4+3+7</f>
        <v>14</v>
      </c>
      <c r="F8" s="24">
        <f>20+15+33.25</f>
        <v>68.25</v>
      </c>
      <c r="G8" s="24">
        <f>8+7</f>
        <v>15</v>
      </c>
      <c r="H8" s="24">
        <f>80+33.25</f>
        <v>113.25</v>
      </c>
      <c r="I8" s="24"/>
      <c r="J8" s="24"/>
      <c r="K8" s="24"/>
      <c r="L8" s="24"/>
      <c r="M8" s="24"/>
    </row>
    <row r="9" spans="1:13" s="3" customFormat="1" ht="37.5" x14ac:dyDescent="0.3">
      <c r="A9" s="23" t="s">
        <v>12</v>
      </c>
      <c r="B9" s="110"/>
      <c r="C9" s="110"/>
      <c r="D9" s="27" t="s">
        <v>25</v>
      </c>
      <c r="E9" s="24">
        <v>4</v>
      </c>
      <c r="F9" s="24">
        <v>19</v>
      </c>
      <c r="G9" s="24">
        <v>4</v>
      </c>
      <c r="H9" s="24">
        <v>19</v>
      </c>
      <c r="I9" s="24"/>
      <c r="J9" s="24"/>
      <c r="K9" s="24"/>
      <c r="L9" s="24"/>
      <c r="M9" s="24"/>
    </row>
    <row r="10" spans="1:13" s="3" customFormat="1" ht="18.75" x14ac:dyDescent="0.3">
      <c r="A10" s="23" t="s">
        <v>13</v>
      </c>
      <c r="B10" s="110"/>
      <c r="C10" s="110" t="s">
        <v>26</v>
      </c>
      <c r="D10" s="27" t="s">
        <v>24</v>
      </c>
      <c r="E10" s="24">
        <f>3</f>
        <v>3</v>
      </c>
      <c r="F10" s="24">
        <f>30</f>
        <v>30</v>
      </c>
      <c r="G10" s="24">
        <f>10</f>
        <v>10</v>
      </c>
      <c r="H10" s="24">
        <f>107</f>
        <v>107</v>
      </c>
      <c r="I10" s="24"/>
      <c r="J10" s="24"/>
      <c r="K10" s="24"/>
      <c r="L10" s="24"/>
      <c r="M10" s="24"/>
    </row>
    <row r="11" spans="1:13" s="3" customFormat="1" ht="37.5" x14ac:dyDescent="0.3">
      <c r="A11" s="23" t="s">
        <v>14</v>
      </c>
      <c r="B11" s="110"/>
      <c r="C11" s="110"/>
      <c r="D11" s="27" t="s">
        <v>25</v>
      </c>
      <c r="E11" s="24"/>
      <c r="F11" s="24"/>
      <c r="G11" s="24"/>
      <c r="H11" s="24"/>
      <c r="I11" s="24"/>
      <c r="J11" s="24"/>
      <c r="K11" s="24"/>
      <c r="L11" s="24"/>
      <c r="M11" s="24"/>
    </row>
    <row r="12" spans="1:13" s="3" customFormat="1" ht="37.5" x14ac:dyDescent="0.3">
      <c r="A12" s="23" t="s">
        <v>15</v>
      </c>
      <c r="B12" s="110" t="s">
        <v>27</v>
      </c>
      <c r="C12" s="23" t="s">
        <v>23</v>
      </c>
      <c r="D12" s="27" t="s">
        <v>25</v>
      </c>
      <c r="E12" s="24"/>
      <c r="F12" s="24"/>
      <c r="G12" s="24"/>
      <c r="H12" s="24"/>
      <c r="I12" s="24"/>
      <c r="J12" s="24"/>
      <c r="K12" s="24"/>
      <c r="L12" s="24"/>
      <c r="M12" s="24"/>
    </row>
    <row r="13" spans="1:13" s="3" customFormat="1" ht="37.5" x14ac:dyDescent="0.3">
      <c r="A13" s="23" t="s">
        <v>16</v>
      </c>
      <c r="B13" s="110"/>
      <c r="C13" s="23" t="s">
        <v>26</v>
      </c>
      <c r="D13" s="27" t="s">
        <v>25</v>
      </c>
      <c r="E13" s="24">
        <f>3</f>
        <v>3</v>
      </c>
      <c r="F13" s="24">
        <f>510.31</f>
        <v>510.31</v>
      </c>
      <c r="G13" s="24"/>
      <c r="H13" s="24"/>
      <c r="I13" s="24"/>
      <c r="J13" s="24"/>
      <c r="K13" s="24"/>
      <c r="L13" s="24"/>
      <c r="M13" s="24"/>
    </row>
    <row r="14" spans="1:13" s="3" customFormat="1" ht="37.5" x14ac:dyDescent="0.3">
      <c r="A14" s="23">
        <v>8</v>
      </c>
      <c r="B14" s="110" t="s">
        <v>28</v>
      </c>
      <c r="C14" s="23" t="s">
        <v>23</v>
      </c>
      <c r="D14" s="27" t="s">
        <v>25</v>
      </c>
      <c r="E14" s="24"/>
      <c r="F14" s="24"/>
      <c r="G14" s="24"/>
      <c r="H14" s="24"/>
      <c r="I14" s="24"/>
      <c r="J14" s="24"/>
      <c r="K14" s="24"/>
      <c r="L14" s="24"/>
      <c r="M14" s="24"/>
    </row>
    <row r="15" spans="1:13" s="3" customFormat="1" ht="37.5" x14ac:dyDescent="0.3">
      <c r="A15" s="23" t="s">
        <v>18</v>
      </c>
      <c r="B15" s="110"/>
      <c r="C15" s="23" t="s">
        <v>26</v>
      </c>
      <c r="D15" s="27" t="s">
        <v>25</v>
      </c>
      <c r="E15" s="24">
        <f>1</f>
        <v>1</v>
      </c>
      <c r="F15" s="24">
        <f>1877.9</f>
        <v>1877.9</v>
      </c>
      <c r="G15" s="24"/>
      <c r="H15" s="24"/>
      <c r="I15" s="24"/>
      <c r="J15" s="24"/>
      <c r="K15" s="24"/>
      <c r="L15" s="24"/>
      <c r="M15" s="24"/>
    </row>
    <row r="16" spans="1:13" s="3" customFormat="1" ht="18.75" x14ac:dyDescent="0.3">
      <c r="A16" s="23" t="s">
        <v>19</v>
      </c>
      <c r="B16" s="110" t="s">
        <v>29</v>
      </c>
      <c r="C16" s="110"/>
      <c r="D16" s="110"/>
      <c r="E16" s="24"/>
      <c r="F16" s="24"/>
      <c r="G16" s="24"/>
      <c r="H16" s="24"/>
      <c r="I16" s="24"/>
      <c r="J16" s="24"/>
      <c r="K16" s="24"/>
      <c r="L16" s="24"/>
      <c r="M16" s="24"/>
    </row>
    <row r="17" spans="1:16" s="3" customFormat="1" ht="18.75" x14ac:dyDescent="0.3">
      <c r="A17" s="23" t="s">
        <v>30</v>
      </c>
      <c r="B17" s="110" t="s">
        <v>31</v>
      </c>
      <c r="C17" s="110"/>
      <c r="D17" s="110"/>
      <c r="E17" s="24">
        <f>E8+E9+E10+E11+E12+E13+E14+E15+E16</f>
        <v>25</v>
      </c>
      <c r="F17" s="24">
        <f t="shared" ref="F17:M17" si="0">F8+F9+F10+F11+F12+F13+F14+F15+F16</f>
        <v>2505.46</v>
      </c>
      <c r="G17" s="24">
        <f t="shared" si="0"/>
        <v>29</v>
      </c>
      <c r="H17" s="24">
        <f t="shared" si="0"/>
        <v>239.25</v>
      </c>
      <c r="I17" s="24">
        <f t="shared" si="0"/>
        <v>0</v>
      </c>
      <c r="J17" s="24">
        <f t="shared" si="0"/>
        <v>0</v>
      </c>
      <c r="K17" s="24">
        <f t="shared" si="0"/>
        <v>0</v>
      </c>
      <c r="L17" s="24">
        <f t="shared" si="0"/>
        <v>0</v>
      </c>
      <c r="M17" s="24">
        <f t="shared" si="0"/>
        <v>0</v>
      </c>
    </row>
    <row r="18" spans="1:16" s="3" customFormat="1" ht="18.75" x14ac:dyDescent="0.3">
      <c r="A18" s="23" t="s">
        <v>32</v>
      </c>
      <c r="B18" s="110" t="s">
        <v>33</v>
      </c>
      <c r="C18" s="110"/>
      <c r="D18" s="110"/>
      <c r="E18" s="24"/>
      <c r="F18" s="24"/>
      <c r="G18" s="24"/>
      <c r="H18" s="24"/>
      <c r="I18" s="24"/>
      <c r="J18" s="24"/>
      <c r="K18" s="24"/>
      <c r="L18" s="24"/>
      <c r="M18" s="24"/>
    </row>
    <row r="21" spans="1:16" customFormat="1" x14ac:dyDescent="0.2">
      <c r="E21" s="6"/>
      <c r="F21" s="6"/>
      <c r="G21" s="6"/>
      <c r="H21" s="6"/>
      <c r="I21" s="6"/>
      <c r="J21" s="6"/>
      <c r="K21" s="6"/>
      <c r="L21" s="6"/>
      <c r="M21" s="6"/>
    </row>
    <row r="22" spans="1:16" s="1" customFormat="1" ht="18.75" x14ac:dyDescent="0.3">
      <c r="A22" s="7" t="s">
        <v>35</v>
      </c>
      <c r="E22" s="2"/>
      <c r="F22" s="2"/>
      <c r="G22" s="2"/>
      <c r="H22" s="2"/>
      <c r="I22" s="2"/>
      <c r="J22" s="2"/>
      <c r="K22" s="2"/>
      <c r="L22" s="2"/>
      <c r="M22" s="2"/>
    </row>
    <row r="23" spans="1:16" s="1" customFormat="1" ht="18.75" x14ac:dyDescent="0.3">
      <c r="E23" s="2"/>
      <c r="F23" s="2"/>
      <c r="G23" s="2"/>
      <c r="H23" s="2"/>
      <c r="I23" s="2"/>
      <c r="J23" s="2"/>
      <c r="K23" s="2"/>
      <c r="L23" s="2"/>
      <c r="M23" s="2"/>
    </row>
    <row r="24" spans="1:16" s="1" customFormat="1" ht="18.75" x14ac:dyDescent="0.3">
      <c r="A24" s="111" t="s">
        <v>85</v>
      </c>
      <c r="B24" s="112"/>
      <c r="C24" s="112"/>
      <c r="D24" s="112"/>
      <c r="E24" s="112"/>
      <c r="F24" s="112"/>
      <c r="G24" s="112"/>
      <c r="H24" s="112"/>
      <c r="I24" s="112"/>
      <c r="J24" s="112"/>
      <c r="K24" s="112"/>
      <c r="L24" s="112"/>
      <c r="M24" s="112"/>
      <c r="N24" s="112"/>
      <c r="O24" s="112"/>
      <c r="P24" s="112"/>
    </row>
    <row r="25" spans="1:16" s="1" customFormat="1" ht="18.75" x14ac:dyDescent="0.3">
      <c r="E25" s="2"/>
      <c r="F25" s="2"/>
      <c r="G25" s="2"/>
      <c r="H25" s="2"/>
      <c r="I25" s="2"/>
      <c r="J25" s="2"/>
      <c r="K25" s="2"/>
      <c r="L25" s="2"/>
      <c r="M25" s="2"/>
    </row>
    <row r="26" spans="1:16" s="1" customFormat="1" ht="18.75" x14ac:dyDescent="0.3">
      <c r="A26" s="11"/>
      <c r="B26" s="115" t="s">
        <v>36</v>
      </c>
      <c r="C26" s="115"/>
      <c r="D26" s="115"/>
      <c r="E26" s="113" t="s">
        <v>37</v>
      </c>
      <c r="F26" s="113"/>
      <c r="G26" s="116" t="s">
        <v>79</v>
      </c>
      <c r="H26" s="116"/>
      <c r="I26" s="116"/>
      <c r="J26" s="116"/>
      <c r="K26" s="116"/>
      <c r="L26" s="116"/>
      <c r="M26" s="117" t="s">
        <v>38</v>
      </c>
      <c r="N26" s="117"/>
      <c r="O26" s="117" t="s">
        <v>39</v>
      </c>
      <c r="P26" s="117"/>
    </row>
    <row r="27" spans="1:16" s="1" customFormat="1" ht="18.75" x14ac:dyDescent="0.3">
      <c r="A27" s="11"/>
      <c r="B27" s="115"/>
      <c r="C27" s="115"/>
      <c r="D27" s="115"/>
      <c r="E27" s="118" t="s">
        <v>40</v>
      </c>
      <c r="F27" s="119" t="s">
        <v>41</v>
      </c>
      <c r="G27" s="118" t="s">
        <v>40</v>
      </c>
      <c r="H27" s="119" t="s">
        <v>41</v>
      </c>
      <c r="I27" s="116" t="s">
        <v>42</v>
      </c>
      <c r="J27" s="116"/>
      <c r="K27" s="116"/>
      <c r="L27" s="116"/>
      <c r="M27" s="118" t="s">
        <v>40</v>
      </c>
      <c r="N27" s="119" t="s">
        <v>41</v>
      </c>
      <c r="O27" s="118" t="s">
        <v>40</v>
      </c>
      <c r="P27" s="119" t="s">
        <v>41</v>
      </c>
    </row>
    <row r="28" spans="1:16" s="1" customFormat="1" ht="18.75" x14ac:dyDescent="0.3">
      <c r="A28" s="11"/>
      <c r="B28" s="115"/>
      <c r="C28" s="115"/>
      <c r="D28" s="115"/>
      <c r="E28" s="118"/>
      <c r="F28" s="119"/>
      <c r="G28" s="118"/>
      <c r="H28" s="119"/>
      <c r="I28" s="120" t="s">
        <v>43</v>
      </c>
      <c r="J28" s="116" t="s">
        <v>44</v>
      </c>
      <c r="K28" s="116"/>
      <c r="L28" s="26" t="s">
        <v>45</v>
      </c>
      <c r="M28" s="118"/>
      <c r="N28" s="119"/>
      <c r="O28" s="118"/>
      <c r="P28" s="119"/>
    </row>
    <row r="29" spans="1:16" s="1" customFormat="1" ht="168.75" x14ac:dyDescent="0.3">
      <c r="A29" s="11" t="s">
        <v>0</v>
      </c>
      <c r="B29" s="115"/>
      <c r="C29" s="115"/>
      <c r="D29" s="115"/>
      <c r="E29" s="118"/>
      <c r="F29" s="119"/>
      <c r="G29" s="118"/>
      <c r="H29" s="119"/>
      <c r="I29" s="120"/>
      <c r="J29" s="24" t="s">
        <v>46</v>
      </c>
      <c r="K29" s="24" t="s">
        <v>47</v>
      </c>
      <c r="L29" s="24" t="s">
        <v>48</v>
      </c>
      <c r="M29" s="118"/>
      <c r="N29" s="119"/>
      <c r="O29" s="118"/>
      <c r="P29" s="119"/>
    </row>
    <row r="30" spans="1:16" s="1" customFormat="1" ht="18.75" x14ac:dyDescent="0.3">
      <c r="A30" s="11"/>
      <c r="B30" s="121" t="s">
        <v>49</v>
      </c>
      <c r="C30" s="121"/>
      <c r="D30" s="121"/>
      <c r="E30" s="26" t="s">
        <v>50</v>
      </c>
      <c r="F30" s="26" t="s">
        <v>51</v>
      </c>
      <c r="G30" s="26" t="s">
        <v>52</v>
      </c>
      <c r="H30" s="26" t="s">
        <v>53</v>
      </c>
      <c r="I30" s="26" t="s">
        <v>54</v>
      </c>
      <c r="J30" s="26" t="s">
        <v>55</v>
      </c>
      <c r="K30" s="26" t="s">
        <v>56</v>
      </c>
      <c r="L30" s="26" t="s">
        <v>57</v>
      </c>
      <c r="M30" s="26" t="s">
        <v>58</v>
      </c>
      <c r="N30" s="13">
        <v>11</v>
      </c>
      <c r="O30" s="14" t="s">
        <v>59</v>
      </c>
      <c r="P30" s="15" t="s">
        <v>60</v>
      </c>
    </row>
    <row r="31" spans="1:16" s="1" customFormat="1" ht="18.75" x14ac:dyDescent="0.3">
      <c r="A31" s="30" t="s">
        <v>49</v>
      </c>
      <c r="B31" s="122" t="s">
        <v>61</v>
      </c>
      <c r="C31" s="123" t="s">
        <v>62</v>
      </c>
      <c r="D31" s="17" t="s">
        <v>63</v>
      </c>
      <c r="E31" s="28">
        <f>3+6+7</f>
        <v>16</v>
      </c>
      <c r="F31" s="28">
        <f>15+26.22+33.25</f>
        <v>74.47</v>
      </c>
      <c r="G31" s="25"/>
      <c r="H31" s="25"/>
      <c r="I31" s="25"/>
      <c r="J31" s="25"/>
      <c r="K31" s="25"/>
      <c r="L31" s="25"/>
      <c r="M31" s="28">
        <f>2+6+7</f>
        <v>15</v>
      </c>
      <c r="N31" s="28">
        <f>10+26.22+33.25</f>
        <v>69.47</v>
      </c>
      <c r="O31" s="28">
        <f>4+3+6+8</f>
        <v>21</v>
      </c>
      <c r="P31" s="28">
        <f>22.48+15+33+38</f>
        <v>108.48</v>
      </c>
    </row>
    <row r="32" spans="1:16" s="1" customFormat="1" ht="37.5" x14ac:dyDescent="0.3">
      <c r="A32" s="30" t="s">
        <v>50</v>
      </c>
      <c r="B32" s="122"/>
      <c r="C32" s="123"/>
      <c r="D32" s="18" t="s">
        <v>64</v>
      </c>
      <c r="E32" s="25">
        <f>1+5+4</f>
        <v>10</v>
      </c>
      <c r="F32" s="25">
        <f>5+18.34+19</f>
        <v>42.34</v>
      </c>
      <c r="G32" s="25"/>
      <c r="H32" s="25"/>
      <c r="I32" s="25"/>
      <c r="J32" s="25"/>
      <c r="K32" s="25"/>
      <c r="L32" s="25"/>
      <c r="M32" s="25">
        <f>1+5+4</f>
        <v>10</v>
      </c>
      <c r="N32" s="25">
        <f>5+18.34+19</f>
        <v>42.34</v>
      </c>
      <c r="O32" s="25">
        <f>1+1+21</f>
        <v>23</v>
      </c>
      <c r="P32" s="25">
        <f>5+3.1+99.75</f>
        <v>107.85</v>
      </c>
    </row>
    <row r="33" spans="1:16" s="1" customFormat="1" ht="18.75" x14ac:dyDescent="0.3">
      <c r="A33" s="30" t="s">
        <v>51</v>
      </c>
      <c r="B33" s="122"/>
      <c r="C33" s="123" t="s">
        <v>65</v>
      </c>
      <c r="D33" s="17" t="s">
        <v>63</v>
      </c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>
        <v>1</v>
      </c>
      <c r="P33" s="25">
        <v>6.75</v>
      </c>
    </row>
    <row r="34" spans="1:16" s="1" customFormat="1" ht="37.5" x14ac:dyDescent="0.3">
      <c r="A34" s="30" t="s">
        <v>52</v>
      </c>
      <c r="B34" s="122"/>
      <c r="C34" s="123"/>
      <c r="D34" s="27" t="s">
        <v>25</v>
      </c>
      <c r="E34" s="25">
        <f>1</f>
        <v>1</v>
      </c>
      <c r="F34" s="25">
        <f>15</f>
        <v>15</v>
      </c>
      <c r="G34" s="25"/>
      <c r="H34" s="25"/>
      <c r="I34" s="25"/>
      <c r="J34" s="25"/>
      <c r="K34" s="25"/>
      <c r="L34" s="25"/>
      <c r="M34" s="25">
        <f>1</f>
        <v>1</v>
      </c>
      <c r="N34" s="25">
        <f>15</f>
        <v>15</v>
      </c>
      <c r="O34" s="25"/>
      <c r="P34" s="25"/>
    </row>
    <row r="35" spans="1:16" s="1" customFormat="1" ht="37.5" x14ac:dyDescent="0.3">
      <c r="A35" s="30" t="s">
        <v>53</v>
      </c>
      <c r="B35" s="125" t="s">
        <v>66</v>
      </c>
      <c r="C35" s="29" t="s">
        <v>62</v>
      </c>
      <c r="D35" s="27" t="s">
        <v>25</v>
      </c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</row>
    <row r="36" spans="1:16" s="1" customFormat="1" ht="37.5" x14ac:dyDescent="0.3">
      <c r="A36" s="30" t="s">
        <v>54</v>
      </c>
      <c r="B36" s="125"/>
      <c r="C36" s="29" t="s">
        <v>65</v>
      </c>
      <c r="D36" s="27" t="s">
        <v>25</v>
      </c>
      <c r="E36" s="25">
        <f>1</f>
        <v>1</v>
      </c>
      <c r="F36" s="25">
        <f>74</f>
        <v>74</v>
      </c>
      <c r="G36" s="25"/>
      <c r="H36" s="25"/>
      <c r="I36" s="25"/>
      <c r="J36" s="25"/>
      <c r="K36" s="25"/>
      <c r="L36" s="25"/>
      <c r="M36" s="25"/>
      <c r="N36" s="25"/>
      <c r="O36" s="25"/>
      <c r="P36" s="25"/>
    </row>
    <row r="37" spans="1:16" s="1" customFormat="1" ht="37.5" x14ac:dyDescent="0.3">
      <c r="A37" s="30" t="s">
        <v>55</v>
      </c>
      <c r="B37" s="125" t="s">
        <v>67</v>
      </c>
      <c r="C37" s="29" t="s">
        <v>62</v>
      </c>
      <c r="D37" s="27" t="s">
        <v>25</v>
      </c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</row>
    <row r="38" spans="1:16" s="1" customFormat="1" ht="37.5" x14ac:dyDescent="0.3">
      <c r="A38" s="30" t="s">
        <v>56</v>
      </c>
      <c r="B38" s="125"/>
      <c r="C38" s="23" t="s">
        <v>26</v>
      </c>
      <c r="D38" s="27" t="s">
        <v>25</v>
      </c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</row>
    <row r="39" spans="1:16" s="1" customFormat="1" ht="18.75" x14ac:dyDescent="0.3">
      <c r="A39" s="30" t="s">
        <v>57</v>
      </c>
      <c r="B39" s="125" t="s">
        <v>68</v>
      </c>
      <c r="C39" s="123" t="s">
        <v>69</v>
      </c>
      <c r="D39" s="123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</row>
    <row r="40" spans="1:16" s="1" customFormat="1" ht="18.75" x14ac:dyDescent="0.3">
      <c r="A40" s="30" t="s">
        <v>58</v>
      </c>
      <c r="B40" s="125"/>
      <c r="C40" s="123" t="s">
        <v>70</v>
      </c>
      <c r="D40" s="123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</row>
    <row r="41" spans="1:16" s="1" customFormat="1" ht="18.75" x14ac:dyDescent="0.3">
      <c r="A41" s="30" t="s">
        <v>71</v>
      </c>
      <c r="B41" s="125"/>
      <c r="C41" s="123" t="s">
        <v>72</v>
      </c>
      <c r="D41" s="123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</row>
    <row r="42" spans="1:16" s="1" customFormat="1" ht="18.75" x14ac:dyDescent="0.3">
      <c r="A42" s="30" t="s">
        <v>59</v>
      </c>
      <c r="B42" s="125"/>
      <c r="C42" s="124" t="s">
        <v>73</v>
      </c>
      <c r="D42" s="124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</row>
    <row r="43" spans="1:16" s="1" customFormat="1" ht="18.75" x14ac:dyDescent="0.3">
      <c r="A43" s="30" t="s">
        <v>60</v>
      </c>
      <c r="B43" s="125"/>
      <c r="C43" s="123" t="s">
        <v>74</v>
      </c>
      <c r="D43" s="123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</row>
    <row r="44" spans="1:16" s="1" customFormat="1" ht="18.75" x14ac:dyDescent="0.3">
      <c r="A44" s="30" t="s">
        <v>75</v>
      </c>
      <c r="B44" s="125"/>
      <c r="C44" s="123" t="s">
        <v>76</v>
      </c>
      <c r="D44" s="123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</row>
    <row r="45" spans="1:16" s="1" customFormat="1" ht="18.75" x14ac:dyDescent="0.3">
      <c r="A45" s="30" t="s">
        <v>77</v>
      </c>
      <c r="B45" s="124" t="s">
        <v>78</v>
      </c>
      <c r="C45" s="124"/>
      <c r="D45" s="124"/>
      <c r="E45" s="28">
        <f>E31+E32+E33+E34+E35+E36+E37+E38+E39+E40+E41+E43+E42+E44</f>
        <v>28</v>
      </c>
      <c r="F45" s="28">
        <f t="shared" ref="F45:P45" si="1">F31+F32+F33+F34+F35+F36+F37+F38+F39+F40+F41+F43+F42+F44</f>
        <v>205.81</v>
      </c>
      <c r="G45" s="28">
        <f t="shared" si="1"/>
        <v>0</v>
      </c>
      <c r="H45" s="28">
        <f t="shared" si="1"/>
        <v>0</v>
      </c>
      <c r="I45" s="28">
        <f t="shared" si="1"/>
        <v>0</v>
      </c>
      <c r="J45" s="28">
        <f t="shared" si="1"/>
        <v>0</v>
      </c>
      <c r="K45" s="28">
        <f t="shared" si="1"/>
        <v>0</v>
      </c>
      <c r="L45" s="28">
        <f t="shared" si="1"/>
        <v>0</v>
      </c>
      <c r="M45" s="28">
        <f t="shared" si="1"/>
        <v>26</v>
      </c>
      <c r="N45" s="28">
        <f t="shared" si="1"/>
        <v>126.81</v>
      </c>
      <c r="O45" s="28">
        <f t="shared" si="1"/>
        <v>45</v>
      </c>
      <c r="P45" s="28">
        <f t="shared" si="1"/>
        <v>223.07999999999998</v>
      </c>
    </row>
    <row r="46" spans="1:16" customFormat="1" x14ac:dyDescent="0.2">
      <c r="E46" s="6"/>
      <c r="F46" s="6"/>
      <c r="G46" s="6"/>
      <c r="H46" s="6"/>
      <c r="I46" s="6"/>
      <c r="J46" s="6"/>
      <c r="K46" s="6"/>
      <c r="L46" s="6"/>
      <c r="M46" s="6"/>
    </row>
  </sheetData>
  <mergeCells count="54">
    <mergeCell ref="A1:M1"/>
    <mergeCell ref="A3:A6"/>
    <mergeCell ref="B3:D5"/>
    <mergeCell ref="E3:F3"/>
    <mergeCell ref="G3:H3"/>
    <mergeCell ref="I3:M3"/>
    <mergeCell ref="E4:E5"/>
    <mergeCell ref="F4:F5"/>
    <mergeCell ref="G4:G5"/>
    <mergeCell ref="H4:H5"/>
    <mergeCell ref="I4:I5"/>
    <mergeCell ref="J4:J5"/>
    <mergeCell ref="K4:M4"/>
    <mergeCell ref="B6:D6"/>
    <mergeCell ref="B7:D7"/>
    <mergeCell ref="I27:L27"/>
    <mergeCell ref="B12:B13"/>
    <mergeCell ref="B14:B15"/>
    <mergeCell ref="B16:D16"/>
    <mergeCell ref="B17:D17"/>
    <mergeCell ref="B18:D18"/>
    <mergeCell ref="A24:P24"/>
    <mergeCell ref="B8:B11"/>
    <mergeCell ref="C8:C9"/>
    <mergeCell ref="C10:C11"/>
    <mergeCell ref="B37:B38"/>
    <mergeCell ref="M27:M29"/>
    <mergeCell ref="N27:N29"/>
    <mergeCell ref="O27:O29"/>
    <mergeCell ref="P27:P29"/>
    <mergeCell ref="I28:I29"/>
    <mergeCell ref="J28:K28"/>
    <mergeCell ref="B26:D29"/>
    <mergeCell ref="E26:F26"/>
    <mergeCell ref="G26:L26"/>
    <mergeCell ref="M26:N26"/>
    <mergeCell ref="O26:P26"/>
    <mergeCell ref="E27:E29"/>
    <mergeCell ref="F27:F29"/>
    <mergeCell ref="G27:G29"/>
    <mergeCell ref="H27:H29"/>
    <mergeCell ref="B30:D30"/>
    <mergeCell ref="B31:B34"/>
    <mergeCell ref="C31:C32"/>
    <mergeCell ref="C33:C34"/>
    <mergeCell ref="B35:B36"/>
    <mergeCell ref="B45:D45"/>
    <mergeCell ref="B39:B44"/>
    <mergeCell ref="C39:D39"/>
    <mergeCell ref="C40:D40"/>
    <mergeCell ref="C41:D41"/>
    <mergeCell ref="C42:D42"/>
    <mergeCell ref="C43:D43"/>
    <mergeCell ref="C44:D44"/>
  </mergeCells>
  <pageMargins left="0.25" right="0.25" top="0.75" bottom="0.75" header="0.3" footer="0.3"/>
  <pageSetup paperSize="9" scale="42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7"/>
  <sheetViews>
    <sheetView zoomScale="70" zoomScaleNormal="70" workbookViewId="0">
      <selection sqref="A1:XFD1048576"/>
    </sheetView>
  </sheetViews>
  <sheetFormatPr defaultRowHeight="12.75" x14ac:dyDescent="0.2"/>
  <cols>
    <col min="1" max="1" width="4.5703125" style="4" customWidth="1"/>
    <col min="2" max="2" width="18" style="4" customWidth="1"/>
    <col min="3" max="3" width="18.28515625" style="4" customWidth="1"/>
    <col min="4" max="4" width="28.85546875" style="4" customWidth="1"/>
    <col min="5" max="5" width="15.5703125" style="5" customWidth="1"/>
    <col min="6" max="6" width="9.5703125" style="5" customWidth="1"/>
    <col min="7" max="7" width="16" style="5" customWidth="1"/>
    <col min="8" max="8" width="10.140625" style="5" customWidth="1"/>
    <col min="9" max="9" width="16" style="5" customWidth="1"/>
    <col min="10" max="10" width="13.7109375" style="5" bestFit="1" customWidth="1"/>
    <col min="11" max="11" width="16.85546875" style="5" customWidth="1"/>
    <col min="12" max="12" width="21.5703125" style="5" customWidth="1"/>
    <col min="13" max="13" width="21.42578125" style="5" customWidth="1"/>
    <col min="14" max="16384" width="9.140625" style="4"/>
  </cols>
  <sheetData>
    <row r="1" spans="1:13" s="1" customFormat="1" ht="39.75" customHeight="1" x14ac:dyDescent="0.3">
      <c r="A1" s="126" t="s">
        <v>82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</row>
    <row r="2" spans="1:13" s="1" customFormat="1" ht="18.75" x14ac:dyDescent="0.3">
      <c r="E2" s="2"/>
      <c r="F2" s="2"/>
      <c r="G2" s="2"/>
      <c r="H2" s="2"/>
      <c r="I2" s="2"/>
      <c r="J2" s="2"/>
      <c r="K2" s="2"/>
      <c r="L2" s="2"/>
      <c r="M2" s="2"/>
    </row>
    <row r="3" spans="1:13" s="3" customFormat="1" ht="75" customHeight="1" x14ac:dyDescent="0.3">
      <c r="A3" s="110" t="s">
        <v>0</v>
      </c>
      <c r="B3" s="110" t="s">
        <v>1</v>
      </c>
      <c r="C3" s="110"/>
      <c r="D3" s="110"/>
      <c r="E3" s="113" t="s">
        <v>2</v>
      </c>
      <c r="F3" s="113"/>
      <c r="G3" s="113" t="s">
        <v>3</v>
      </c>
      <c r="H3" s="113"/>
      <c r="I3" s="113" t="s">
        <v>4</v>
      </c>
      <c r="J3" s="113"/>
      <c r="K3" s="113"/>
      <c r="L3" s="113"/>
      <c r="M3" s="113"/>
    </row>
    <row r="4" spans="1:13" s="3" customFormat="1" ht="18.75" x14ac:dyDescent="0.3">
      <c r="A4" s="110"/>
      <c r="B4" s="110"/>
      <c r="C4" s="110"/>
      <c r="D4" s="110"/>
      <c r="E4" s="113" t="s">
        <v>5</v>
      </c>
      <c r="F4" s="113" t="s">
        <v>6</v>
      </c>
      <c r="G4" s="113" t="s">
        <v>5</v>
      </c>
      <c r="H4" s="113" t="s">
        <v>6</v>
      </c>
      <c r="I4" s="113" t="s">
        <v>5</v>
      </c>
      <c r="J4" s="113" t="s">
        <v>6</v>
      </c>
      <c r="K4" s="114" t="s">
        <v>34</v>
      </c>
      <c r="L4" s="113"/>
      <c r="M4" s="113"/>
    </row>
    <row r="5" spans="1:13" s="3" customFormat="1" ht="57" customHeight="1" x14ac:dyDescent="0.3">
      <c r="A5" s="110"/>
      <c r="B5" s="110"/>
      <c r="C5" s="110"/>
      <c r="D5" s="110"/>
      <c r="E5" s="113"/>
      <c r="F5" s="113"/>
      <c r="G5" s="113"/>
      <c r="H5" s="113"/>
      <c r="I5" s="113"/>
      <c r="J5" s="113"/>
      <c r="K5" s="8" t="s">
        <v>7</v>
      </c>
      <c r="L5" s="8" t="s">
        <v>8</v>
      </c>
      <c r="M5" s="8" t="s">
        <v>9</v>
      </c>
    </row>
    <row r="6" spans="1:13" s="3" customFormat="1" ht="18.75" x14ac:dyDescent="0.3">
      <c r="A6" s="110"/>
      <c r="B6" s="110" t="s">
        <v>10</v>
      </c>
      <c r="C6" s="110"/>
      <c r="D6" s="110"/>
      <c r="E6" s="8" t="s">
        <v>11</v>
      </c>
      <c r="F6" s="8" t="s">
        <v>12</v>
      </c>
      <c r="G6" s="8" t="s">
        <v>13</v>
      </c>
      <c r="H6" s="8" t="s">
        <v>14</v>
      </c>
      <c r="I6" s="8" t="s">
        <v>15</v>
      </c>
      <c r="J6" s="8" t="s">
        <v>16</v>
      </c>
      <c r="K6" s="8" t="s">
        <v>17</v>
      </c>
      <c r="L6" s="8" t="s">
        <v>18</v>
      </c>
      <c r="M6" s="8" t="s">
        <v>19</v>
      </c>
    </row>
    <row r="7" spans="1:13" s="3" customFormat="1" ht="18.75" x14ac:dyDescent="0.3">
      <c r="A7" s="9" t="s">
        <v>20</v>
      </c>
      <c r="B7" s="110" t="s">
        <v>21</v>
      </c>
      <c r="C7" s="110"/>
      <c r="D7" s="110"/>
      <c r="E7" s="8"/>
      <c r="F7" s="8"/>
      <c r="G7" s="8"/>
      <c r="H7" s="8"/>
      <c r="I7" s="8"/>
      <c r="J7" s="8"/>
      <c r="K7" s="8"/>
      <c r="L7" s="8"/>
      <c r="M7" s="8"/>
    </row>
    <row r="8" spans="1:13" s="3" customFormat="1" ht="18.75" x14ac:dyDescent="0.3">
      <c r="A8" s="9" t="s">
        <v>11</v>
      </c>
      <c r="B8" s="110" t="s">
        <v>22</v>
      </c>
      <c r="C8" s="110" t="s">
        <v>23</v>
      </c>
      <c r="D8" s="10" t="s">
        <v>24</v>
      </c>
      <c r="E8" s="8">
        <v>35</v>
      </c>
      <c r="F8" s="8">
        <v>141</v>
      </c>
      <c r="G8" s="8">
        <v>29</v>
      </c>
      <c r="H8" s="8">
        <v>114</v>
      </c>
      <c r="I8" s="8">
        <v>2</v>
      </c>
      <c r="J8" s="8"/>
      <c r="K8" s="8"/>
      <c r="L8" s="8"/>
      <c r="M8" s="8">
        <v>2</v>
      </c>
    </row>
    <row r="9" spans="1:13" s="3" customFormat="1" ht="37.5" x14ac:dyDescent="0.3">
      <c r="A9" s="9" t="s">
        <v>12</v>
      </c>
      <c r="B9" s="110"/>
      <c r="C9" s="110"/>
      <c r="D9" s="10" t="s">
        <v>25</v>
      </c>
      <c r="E9" s="8">
        <f>3+4</f>
        <v>7</v>
      </c>
      <c r="F9" s="8">
        <v>40</v>
      </c>
      <c r="G9" s="20">
        <v>3</v>
      </c>
      <c r="H9" s="20"/>
      <c r="I9" s="8"/>
      <c r="J9" s="8"/>
      <c r="K9" s="8"/>
      <c r="L9" s="8"/>
      <c r="M9" s="8"/>
    </row>
    <row r="10" spans="1:13" s="3" customFormat="1" ht="18.75" x14ac:dyDescent="0.3">
      <c r="A10" s="9" t="s">
        <v>13</v>
      </c>
      <c r="B10" s="110"/>
      <c r="C10" s="110" t="s">
        <v>26</v>
      </c>
      <c r="D10" s="10" t="s">
        <v>24</v>
      </c>
      <c r="E10" s="8">
        <v>6</v>
      </c>
      <c r="F10" s="8">
        <v>39.74</v>
      </c>
      <c r="G10" s="8"/>
      <c r="H10" s="8"/>
      <c r="I10" s="8"/>
      <c r="J10" s="8"/>
      <c r="K10" s="8"/>
      <c r="L10" s="8"/>
      <c r="M10" s="8"/>
    </row>
    <row r="11" spans="1:13" s="3" customFormat="1" ht="37.5" x14ac:dyDescent="0.3">
      <c r="A11" s="9" t="s">
        <v>14</v>
      </c>
      <c r="B11" s="110"/>
      <c r="C11" s="110"/>
      <c r="D11" s="10" t="s">
        <v>25</v>
      </c>
      <c r="E11" s="8">
        <v>1</v>
      </c>
      <c r="F11" s="8">
        <v>276.77999999999997</v>
      </c>
      <c r="G11" s="8">
        <v>1</v>
      </c>
      <c r="H11" s="8">
        <v>276.77999999999997</v>
      </c>
      <c r="I11" s="8"/>
      <c r="J11" s="8"/>
      <c r="K11" s="8"/>
      <c r="L11" s="8"/>
      <c r="M11" s="8"/>
    </row>
    <row r="12" spans="1:13" s="3" customFormat="1" ht="37.5" x14ac:dyDescent="0.3">
      <c r="A12" s="9" t="s">
        <v>15</v>
      </c>
      <c r="B12" s="110" t="s">
        <v>27</v>
      </c>
      <c r="C12" s="9" t="s">
        <v>23</v>
      </c>
      <c r="D12" s="10" t="s">
        <v>25</v>
      </c>
      <c r="E12" s="8"/>
      <c r="F12" s="8"/>
      <c r="G12" s="8"/>
      <c r="H12" s="8"/>
      <c r="I12" s="8"/>
      <c r="J12" s="8"/>
      <c r="K12" s="8"/>
      <c r="L12" s="8"/>
      <c r="M12" s="8"/>
    </row>
    <row r="13" spans="1:13" s="3" customFormat="1" ht="37.5" x14ac:dyDescent="0.3">
      <c r="A13" s="9" t="s">
        <v>16</v>
      </c>
      <c r="B13" s="110"/>
      <c r="C13" s="9" t="s">
        <v>26</v>
      </c>
      <c r="D13" s="10" t="s">
        <v>25</v>
      </c>
      <c r="E13" s="8">
        <v>3</v>
      </c>
      <c r="F13" s="8">
        <v>530</v>
      </c>
      <c r="G13" s="8">
        <v>1</v>
      </c>
      <c r="H13" s="8">
        <v>490</v>
      </c>
      <c r="I13" s="8"/>
      <c r="J13" s="8"/>
      <c r="K13" s="8"/>
      <c r="L13" s="8"/>
      <c r="M13" s="8"/>
    </row>
    <row r="14" spans="1:13" s="3" customFormat="1" ht="37.5" x14ac:dyDescent="0.3">
      <c r="A14" s="9">
        <v>8</v>
      </c>
      <c r="B14" s="110" t="s">
        <v>28</v>
      </c>
      <c r="C14" s="9" t="s">
        <v>23</v>
      </c>
      <c r="D14" s="10" t="s">
        <v>25</v>
      </c>
      <c r="E14" s="8"/>
      <c r="F14" s="8"/>
      <c r="G14" s="8"/>
      <c r="H14" s="8"/>
      <c r="I14" s="8"/>
      <c r="J14" s="8"/>
      <c r="K14" s="8"/>
      <c r="L14" s="8"/>
      <c r="M14" s="8"/>
    </row>
    <row r="15" spans="1:13" s="3" customFormat="1" ht="37.5" x14ac:dyDescent="0.3">
      <c r="A15" s="9" t="s">
        <v>18</v>
      </c>
      <c r="B15" s="110"/>
      <c r="C15" s="9" t="s">
        <v>26</v>
      </c>
      <c r="D15" s="10" t="s">
        <v>25</v>
      </c>
      <c r="E15" s="8"/>
      <c r="F15" s="8"/>
      <c r="G15" s="8">
        <v>1</v>
      </c>
      <c r="H15" s="8">
        <v>1877</v>
      </c>
      <c r="I15" s="8"/>
      <c r="J15" s="8"/>
      <c r="K15" s="8"/>
      <c r="L15" s="8"/>
      <c r="M15" s="8"/>
    </row>
    <row r="16" spans="1:13" s="3" customFormat="1" ht="18.75" x14ac:dyDescent="0.3">
      <c r="A16" s="9" t="s">
        <v>19</v>
      </c>
      <c r="B16" s="110" t="s">
        <v>29</v>
      </c>
      <c r="C16" s="110"/>
      <c r="D16" s="110"/>
      <c r="E16" s="8"/>
      <c r="F16" s="8"/>
      <c r="G16" s="8"/>
      <c r="H16" s="8"/>
      <c r="I16" s="8"/>
      <c r="J16" s="8"/>
      <c r="K16" s="8"/>
      <c r="L16" s="8"/>
      <c r="M16" s="8"/>
    </row>
    <row r="17" spans="1:16" s="3" customFormat="1" ht="18.75" x14ac:dyDescent="0.3">
      <c r="A17" s="9" t="s">
        <v>30</v>
      </c>
      <c r="B17" s="110" t="s">
        <v>31</v>
      </c>
      <c r="C17" s="110"/>
      <c r="D17" s="110"/>
      <c r="E17" s="8">
        <f>E8+E9+E10+E11+E12+E13+E14+E15+E16</f>
        <v>52</v>
      </c>
      <c r="F17" s="8">
        <f t="shared" ref="F17:M17" si="0">F8+F9+F10+F11+F12+F13+F14+F15+F16</f>
        <v>1027.52</v>
      </c>
      <c r="G17" s="8">
        <f t="shared" si="0"/>
        <v>35</v>
      </c>
      <c r="H17" s="8">
        <f t="shared" si="0"/>
        <v>2757.7799999999997</v>
      </c>
      <c r="I17" s="8">
        <f t="shared" si="0"/>
        <v>2</v>
      </c>
      <c r="J17" s="8">
        <f t="shared" si="0"/>
        <v>0</v>
      </c>
      <c r="K17" s="8">
        <f t="shared" si="0"/>
        <v>0</v>
      </c>
      <c r="L17" s="8">
        <f t="shared" si="0"/>
        <v>0</v>
      </c>
      <c r="M17" s="8">
        <f t="shared" si="0"/>
        <v>2</v>
      </c>
    </row>
    <row r="18" spans="1:16" s="3" customFormat="1" ht="18.75" x14ac:dyDescent="0.3">
      <c r="A18" s="9" t="s">
        <v>32</v>
      </c>
      <c r="B18" s="110" t="s">
        <v>33</v>
      </c>
      <c r="C18" s="110"/>
      <c r="D18" s="110"/>
      <c r="E18" s="8">
        <f>1+1</f>
        <v>2</v>
      </c>
      <c r="F18" s="8"/>
      <c r="G18" s="8">
        <f>1+1</f>
        <v>2</v>
      </c>
      <c r="H18" s="8"/>
      <c r="I18" s="8"/>
      <c r="J18" s="8"/>
      <c r="K18" s="8"/>
      <c r="L18" s="8"/>
      <c r="M18" s="8"/>
    </row>
    <row r="21" spans="1:16" customFormat="1" x14ac:dyDescent="0.2">
      <c r="E21" s="6"/>
      <c r="F21" s="6"/>
      <c r="G21" s="6"/>
      <c r="H21" s="6"/>
      <c r="I21" s="6"/>
      <c r="J21" s="6"/>
      <c r="K21" s="6"/>
      <c r="L21" s="6"/>
      <c r="M21" s="6"/>
    </row>
    <row r="22" spans="1:16" s="1" customFormat="1" ht="18.75" x14ac:dyDescent="0.3">
      <c r="A22" s="7" t="s">
        <v>35</v>
      </c>
      <c r="E22" s="2"/>
      <c r="F22" s="2"/>
      <c r="G22" s="2"/>
      <c r="H22" s="2"/>
      <c r="I22" s="2"/>
      <c r="J22" s="2"/>
      <c r="K22" s="2"/>
      <c r="L22" s="2"/>
      <c r="M22" s="2"/>
    </row>
    <row r="23" spans="1:16" s="1" customFormat="1" ht="18.75" x14ac:dyDescent="0.3">
      <c r="E23" s="2"/>
      <c r="F23" s="2"/>
      <c r="G23" s="2"/>
      <c r="H23" s="2"/>
      <c r="I23" s="2"/>
      <c r="J23" s="2"/>
      <c r="K23" s="2"/>
      <c r="L23" s="2"/>
      <c r="M23" s="2"/>
    </row>
    <row r="24" spans="1:16" s="1" customFormat="1" ht="36.75" customHeight="1" x14ac:dyDescent="0.3">
      <c r="A24" s="111" t="s">
        <v>83</v>
      </c>
      <c r="B24" s="112"/>
      <c r="C24" s="112"/>
      <c r="D24" s="112"/>
      <c r="E24" s="112"/>
      <c r="F24" s="112"/>
      <c r="G24" s="112"/>
      <c r="H24" s="112"/>
      <c r="I24" s="112"/>
      <c r="J24" s="112"/>
      <c r="K24" s="112"/>
      <c r="L24" s="112"/>
      <c r="M24" s="112"/>
      <c r="N24" s="112"/>
      <c r="O24" s="112"/>
      <c r="P24" s="112"/>
    </row>
    <row r="25" spans="1:16" s="1" customFormat="1" ht="18.75" x14ac:dyDescent="0.3">
      <c r="E25" s="2"/>
      <c r="F25" s="2"/>
      <c r="G25" s="2"/>
      <c r="H25" s="2"/>
      <c r="I25" s="2"/>
      <c r="J25" s="2"/>
      <c r="K25" s="2"/>
      <c r="L25" s="2"/>
      <c r="M25" s="2"/>
    </row>
    <row r="26" spans="1:16" s="1" customFormat="1" ht="56.25" customHeight="1" x14ac:dyDescent="0.3">
      <c r="A26" s="11"/>
      <c r="B26" s="115" t="s">
        <v>36</v>
      </c>
      <c r="C26" s="115"/>
      <c r="D26" s="115"/>
      <c r="E26" s="113" t="s">
        <v>37</v>
      </c>
      <c r="F26" s="113"/>
      <c r="G26" s="116" t="s">
        <v>79</v>
      </c>
      <c r="H26" s="116"/>
      <c r="I26" s="116"/>
      <c r="J26" s="116"/>
      <c r="K26" s="116"/>
      <c r="L26" s="116"/>
      <c r="M26" s="117" t="s">
        <v>38</v>
      </c>
      <c r="N26" s="117"/>
      <c r="O26" s="117" t="s">
        <v>39</v>
      </c>
      <c r="P26" s="117"/>
    </row>
    <row r="27" spans="1:16" s="1" customFormat="1" ht="20.25" customHeight="1" x14ac:dyDescent="0.3">
      <c r="A27" s="11"/>
      <c r="B27" s="115"/>
      <c r="C27" s="115"/>
      <c r="D27" s="115"/>
      <c r="E27" s="118" t="s">
        <v>40</v>
      </c>
      <c r="F27" s="119" t="s">
        <v>41</v>
      </c>
      <c r="G27" s="118" t="s">
        <v>40</v>
      </c>
      <c r="H27" s="119" t="s">
        <v>41</v>
      </c>
      <c r="I27" s="116" t="s">
        <v>42</v>
      </c>
      <c r="J27" s="116"/>
      <c r="K27" s="116"/>
      <c r="L27" s="116"/>
      <c r="M27" s="118" t="s">
        <v>40</v>
      </c>
      <c r="N27" s="119" t="s">
        <v>41</v>
      </c>
      <c r="O27" s="118" t="s">
        <v>40</v>
      </c>
      <c r="P27" s="119" t="s">
        <v>41</v>
      </c>
    </row>
    <row r="28" spans="1:16" s="1" customFormat="1" ht="18.75" x14ac:dyDescent="0.3">
      <c r="A28" s="11"/>
      <c r="B28" s="115"/>
      <c r="C28" s="115"/>
      <c r="D28" s="115"/>
      <c r="E28" s="118"/>
      <c r="F28" s="119"/>
      <c r="G28" s="118"/>
      <c r="H28" s="119"/>
      <c r="I28" s="120" t="s">
        <v>43</v>
      </c>
      <c r="J28" s="116" t="s">
        <v>44</v>
      </c>
      <c r="K28" s="116"/>
      <c r="L28" s="12" t="s">
        <v>45</v>
      </c>
      <c r="M28" s="118"/>
      <c r="N28" s="119"/>
      <c r="O28" s="118"/>
      <c r="P28" s="119"/>
    </row>
    <row r="29" spans="1:16" s="1" customFormat="1" ht="96" customHeight="1" x14ac:dyDescent="0.3">
      <c r="A29" s="11" t="s">
        <v>0</v>
      </c>
      <c r="B29" s="115"/>
      <c r="C29" s="115"/>
      <c r="D29" s="115"/>
      <c r="E29" s="118"/>
      <c r="F29" s="119"/>
      <c r="G29" s="118"/>
      <c r="H29" s="119"/>
      <c r="I29" s="120"/>
      <c r="J29" s="8" t="s">
        <v>46</v>
      </c>
      <c r="K29" s="8" t="s">
        <v>47</v>
      </c>
      <c r="L29" s="8" t="s">
        <v>48</v>
      </c>
      <c r="M29" s="118"/>
      <c r="N29" s="119"/>
      <c r="O29" s="118"/>
      <c r="P29" s="119"/>
    </row>
    <row r="30" spans="1:16" s="2" customFormat="1" ht="18.75" x14ac:dyDescent="0.3">
      <c r="A30" s="31"/>
      <c r="B30" s="116" t="s">
        <v>49</v>
      </c>
      <c r="C30" s="116"/>
      <c r="D30" s="116"/>
      <c r="E30" s="31" t="s">
        <v>50</v>
      </c>
      <c r="F30" s="31" t="s">
        <v>51</v>
      </c>
      <c r="G30" s="31" t="s">
        <v>52</v>
      </c>
      <c r="H30" s="31" t="s">
        <v>53</v>
      </c>
      <c r="I30" s="31" t="s">
        <v>54</v>
      </c>
      <c r="J30" s="31" t="s">
        <v>55</v>
      </c>
      <c r="K30" s="31" t="s">
        <v>56</v>
      </c>
      <c r="L30" s="31" t="s">
        <v>57</v>
      </c>
      <c r="M30" s="31" t="s">
        <v>58</v>
      </c>
      <c r="N30" s="31">
        <v>11</v>
      </c>
      <c r="O30" s="31" t="s">
        <v>59</v>
      </c>
      <c r="P30" s="31" t="s">
        <v>60</v>
      </c>
    </row>
    <row r="31" spans="1:16" s="1" customFormat="1" ht="18.75" x14ac:dyDescent="0.3">
      <c r="A31" s="16" t="s">
        <v>49</v>
      </c>
      <c r="B31" s="122" t="s">
        <v>61</v>
      </c>
      <c r="C31" s="123" t="s">
        <v>62</v>
      </c>
      <c r="D31" s="17" t="s">
        <v>63</v>
      </c>
      <c r="E31" s="22">
        <f>4+8+5</f>
        <v>17</v>
      </c>
      <c r="F31" s="22">
        <f>45.9+15.5</f>
        <v>61.4</v>
      </c>
      <c r="G31" s="21"/>
      <c r="H31" s="21"/>
      <c r="I31" s="21"/>
      <c r="J31" s="21"/>
      <c r="K31" s="21"/>
      <c r="L31" s="21"/>
      <c r="M31" s="22">
        <f>4+8+5</f>
        <v>17</v>
      </c>
      <c r="N31" s="22">
        <f>45.94+15.5</f>
        <v>61.44</v>
      </c>
      <c r="O31" s="22">
        <f>9+14+5+4</f>
        <v>32</v>
      </c>
      <c r="P31" s="22">
        <f>58.81+15.5+22.48</f>
        <v>96.79</v>
      </c>
    </row>
    <row r="32" spans="1:16" s="1" customFormat="1" ht="37.5" x14ac:dyDescent="0.3">
      <c r="A32" s="16" t="s">
        <v>50</v>
      </c>
      <c r="B32" s="122"/>
      <c r="C32" s="123"/>
      <c r="D32" s="18" t="s">
        <v>64</v>
      </c>
      <c r="E32" s="21">
        <f>3+5+1</f>
        <v>9</v>
      </c>
      <c r="F32" s="21">
        <f>22+5</f>
        <v>27</v>
      </c>
      <c r="G32" s="21"/>
      <c r="H32" s="21"/>
      <c r="I32" s="21"/>
      <c r="J32" s="21"/>
      <c r="K32" s="21"/>
      <c r="L32" s="21"/>
      <c r="M32" s="21">
        <f>3+5+1</f>
        <v>9</v>
      </c>
      <c r="N32" s="21">
        <f>22+5</f>
        <v>27</v>
      </c>
      <c r="O32" s="21">
        <f>11+10+1</f>
        <v>22</v>
      </c>
      <c r="P32" s="21">
        <v>45</v>
      </c>
    </row>
    <row r="33" spans="1:16" s="1" customFormat="1" ht="18.75" x14ac:dyDescent="0.3">
      <c r="A33" s="16" t="s">
        <v>51</v>
      </c>
      <c r="B33" s="122"/>
      <c r="C33" s="123" t="s">
        <v>65</v>
      </c>
      <c r="D33" s="17" t="s">
        <v>63</v>
      </c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</row>
    <row r="34" spans="1:16" s="1" customFormat="1" ht="37.5" x14ac:dyDescent="0.3">
      <c r="A34" s="16" t="s">
        <v>52</v>
      </c>
      <c r="B34" s="122"/>
      <c r="C34" s="123"/>
      <c r="D34" s="10" t="s">
        <v>25</v>
      </c>
      <c r="E34" s="21">
        <v>3</v>
      </c>
      <c r="F34" s="21">
        <v>28.12</v>
      </c>
      <c r="G34" s="21"/>
      <c r="H34" s="21"/>
      <c r="I34" s="21"/>
      <c r="J34" s="21"/>
      <c r="K34" s="21"/>
      <c r="L34" s="21"/>
      <c r="M34" s="21"/>
      <c r="N34" s="21"/>
      <c r="O34" s="21">
        <v>3</v>
      </c>
      <c r="P34" s="21">
        <v>28.12</v>
      </c>
    </row>
    <row r="35" spans="1:16" s="1" customFormat="1" ht="37.5" x14ac:dyDescent="0.3">
      <c r="A35" s="16" t="s">
        <v>53</v>
      </c>
      <c r="B35" s="125" t="s">
        <v>66</v>
      </c>
      <c r="C35" s="19" t="s">
        <v>62</v>
      </c>
      <c r="D35" s="10" t="s">
        <v>25</v>
      </c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</row>
    <row r="36" spans="1:16" s="1" customFormat="1" ht="51" customHeight="1" x14ac:dyDescent="0.3">
      <c r="A36" s="16" t="s">
        <v>54</v>
      </c>
      <c r="B36" s="125"/>
      <c r="C36" s="19" t="s">
        <v>65</v>
      </c>
      <c r="D36" s="10" t="s">
        <v>25</v>
      </c>
      <c r="E36" s="21"/>
      <c r="F36" s="21"/>
      <c r="G36" s="21"/>
      <c r="H36" s="21"/>
      <c r="I36" s="21"/>
      <c r="J36" s="21"/>
      <c r="K36" s="21"/>
      <c r="L36" s="21"/>
      <c r="M36" s="21">
        <v>1</v>
      </c>
      <c r="N36" s="21">
        <v>74</v>
      </c>
      <c r="O36" s="21"/>
      <c r="P36" s="21"/>
    </row>
    <row r="37" spans="1:16" s="1" customFormat="1" ht="51.75" customHeight="1" x14ac:dyDescent="0.3">
      <c r="A37" s="16" t="s">
        <v>55</v>
      </c>
      <c r="B37" s="125" t="s">
        <v>67</v>
      </c>
      <c r="C37" s="19" t="s">
        <v>62</v>
      </c>
      <c r="D37" s="10" t="s">
        <v>25</v>
      </c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</row>
    <row r="38" spans="1:16" s="1" customFormat="1" ht="37.5" x14ac:dyDescent="0.3">
      <c r="A38" s="16" t="s">
        <v>56</v>
      </c>
      <c r="B38" s="125"/>
      <c r="C38" s="9" t="s">
        <v>26</v>
      </c>
      <c r="D38" s="10" t="s">
        <v>25</v>
      </c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</row>
    <row r="39" spans="1:16" s="1" customFormat="1" ht="58.5" customHeight="1" x14ac:dyDescent="0.3">
      <c r="A39" s="16" t="s">
        <v>57</v>
      </c>
      <c r="B39" s="125" t="s">
        <v>68</v>
      </c>
      <c r="C39" s="123" t="s">
        <v>69</v>
      </c>
      <c r="D39" s="123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</row>
    <row r="40" spans="1:16" s="1" customFormat="1" ht="24" customHeight="1" x14ac:dyDescent="0.3">
      <c r="A40" s="16" t="s">
        <v>58</v>
      </c>
      <c r="B40" s="125"/>
      <c r="C40" s="123" t="s">
        <v>70</v>
      </c>
      <c r="D40" s="123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</row>
    <row r="41" spans="1:16" s="1" customFormat="1" ht="60" customHeight="1" x14ac:dyDescent="0.3">
      <c r="A41" s="16" t="s">
        <v>71</v>
      </c>
      <c r="B41" s="125"/>
      <c r="C41" s="123" t="s">
        <v>72</v>
      </c>
      <c r="D41" s="123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</row>
    <row r="42" spans="1:16" s="1" customFormat="1" ht="18.75" x14ac:dyDescent="0.3">
      <c r="A42" s="16" t="s">
        <v>59</v>
      </c>
      <c r="B42" s="125"/>
      <c r="C42" s="124" t="s">
        <v>73</v>
      </c>
      <c r="D42" s="124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</row>
    <row r="43" spans="1:16" s="1" customFormat="1" ht="63.75" customHeight="1" x14ac:dyDescent="0.3">
      <c r="A43" s="16" t="s">
        <v>60</v>
      </c>
      <c r="B43" s="125"/>
      <c r="C43" s="123" t="s">
        <v>74</v>
      </c>
      <c r="D43" s="123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</row>
    <row r="44" spans="1:16" s="1" customFormat="1" ht="59.25" customHeight="1" x14ac:dyDescent="0.3">
      <c r="A44" s="16" t="s">
        <v>75</v>
      </c>
      <c r="B44" s="125"/>
      <c r="C44" s="123" t="s">
        <v>76</v>
      </c>
      <c r="D44" s="123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</row>
    <row r="45" spans="1:16" s="1" customFormat="1" ht="18.75" x14ac:dyDescent="0.3">
      <c r="A45" s="16" t="s">
        <v>77</v>
      </c>
      <c r="B45" s="124" t="s">
        <v>78</v>
      </c>
      <c r="C45" s="124"/>
      <c r="D45" s="124"/>
      <c r="E45" s="22">
        <f>E31+E32+E33+E34+E35+E36+E37+E38+E39+E40+E41+E43+E42+E44</f>
        <v>29</v>
      </c>
      <c r="F45" s="22">
        <f t="shared" ref="F45:P45" si="1">F31+F32+F33+F34+F35+F36+F37+F38+F39+F40+F41+F43+F42+F44</f>
        <v>116.52000000000001</v>
      </c>
      <c r="G45" s="22">
        <f t="shared" si="1"/>
        <v>0</v>
      </c>
      <c r="H45" s="22">
        <f t="shared" si="1"/>
        <v>0</v>
      </c>
      <c r="I45" s="22">
        <f t="shared" si="1"/>
        <v>0</v>
      </c>
      <c r="J45" s="22">
        <f t="shared" si="1"/>
        <v>0</v>
      </c>
      <c r="K45" s="22">
        <f t="shared" si="1"/>
        <v>0</v>
      </c>
      <c r="L45" s="22">
        <f t="shared" si="1"/>
        <v>0</v>
      </c>
      <c r="M45" s="22">
        <f t="shared" si="1"/>
        <v>27</v>
      </c>
      <c r="N45" s="22">
        <f t="shared" si="1"/>
        <v>162.44</v>
      </c>
      <c r="O45" s="22">
        <f t="shared" si="1"/>
        <v>57</v>
      </c>
      <c r="P45" s="22">
        <f t="shared" si="1"/>
        <v>169.91000000000003</v>
      </c>
    </row>
    <row r="46" spans="1:16" customFormat="1" x14ac:dyDescent="0.2">
      <c r="E46" s="6"/>
      <c r="F46" s="6"/>
      <c r="G46" s="6"/>
      <c r="H46" s="6"/>
      <c r="I46" s="6"/>
      <c r="J46" s="6"/>
      <c r="K46" s="6"/>
      <c r="L46" s="6"/>
      <c r="M46" s="6"/>
    </row>
    <row r="47" spans="1:16" ht="18.75" x14ac:dyDescent="0.2">
      <c r="A47" s="32" t="s">
        <v>86</v>
      </c>
    </row>
  </sheetData>
  <mergeCells count="54">
    <mergeCell ref="B16:D16"/>
    <mergeCell ref="B17:D17"/>
    <mergeCell ref="B18:D18"/>
    <mergeCell ref="A1:M1"/>
    <mergeCell ref="A3:A6"/>
    <mergeCell ref="B3:D5"/>
    <mergeCell ref="E3:F3"/>
    <mergeCell ref="G3:H3"/>
    <mergeCell ref="I3:M3"/>
    <mergeCell ref="E4:E5"/>
    <mergeCell ref="F4:F5"/>
    <mergeCell ref="G4:G5"/>
    <mergeCell ref="H4:H5"/>
    <mergeCell ref="B8:B11"/>
    <mergeCell ref="C8:C9"/>
    <mergeCell ref="C10:C11"/>
    <mergeCell ref="B12:B13"/>
    <mergeCell ref="B14:B15"/>
    <mergeCell ref="I4:I5"/>
    <mergeCell ref="J4:J5"/>
    <mergeCell ref="K4:M4"/>
    <mergeCell ref="B6:D6"/>
    <mergeCell ref="B7:D7"/>
    <mergeCell ref="P27:P29"/>
    <mergeCell ref="I28:I29"/>
    <mergeCell ref="J28:K28"/>
    <mergeCell ref="A24:P24"/>
    <mergeCell ref="B26:D29"/>
    <mergeCell ref="E26:F26"/>
    <mergeCell ref="G26:L26"/>
    <mergeCell ref="M26:N26"/>
    <mergeCell ref="O26:P26"/>
    <mergeCell ref="E27:E29"/>
    <mergeCell ref="F27:F29"/>
    <mergeCell ref="G27:G29"/>
    <mergeCell ref="H27:H29"/>
    <mergeCell ref="B37:B38"/>
    <mergeCell ref="I27:L27"/>
    <mergeCell ref="M27:M29"/>
    <mergeCell ref="N27:N29"/>
    <mergeCell ref="O27:O29"/>
    <mergeCell ref="B30:D30"/>
    <mergeCell ref="B31:B34"/>
    <mergeCell ref="C31:C32"/>
    <mergeCell ref="C33:C34"/>
    <mergeCell ref="B35:B36"/>
    <mergeCell ref="B45:D45"/>
    <mergeCell ref="B39:B44"/>
    <mergeCell ref="C39:D39"/>
    <mergeCell ref="C40:D40"/>
    <mergeCell ref="C41:D41"/>
    <mergeCell ref="C42:D42"/>
    <mergeCell ref="C43:D43"/>
    <mergeCell ref="C44:D44"/>
  </mergeCells>
  <pageMargins left="0.25" right="0.25" top="0.75" bottom="0.75" header="0.3" footer="0.3"/>
  <pageSetup paperSize="9" scale="32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7"/>
  <sheetViews>
    <sheetView topLeftCell="A13" zoomScale="70" zoomScaleNormal="70" workbookViewId="0">
      <selection activeCell="A13" sqref="A1:XFD1048576"/>
    </sheetView>
  </sheetViews>
  <sheetFormatPr defaultRowHeight="12.75" x14ac:dyDescent="0.2"/>
  <cols>
    <col min="1" max="1" width="4.5703125" style="4" customWidth="1"/>
    <col min="2" max="2" width="18" style="4" customWidth="1"/>
    <col min="3" max="3" width="18.28515625" style="4" customWidth="1"/>
    <col min="4" max="4" width="28.85546875" style="4" customWidth="1"/>
    <col min="5" max="5" width="15.5703125" style="5" customWidth="1"/>
    <col min="6" max="6" width="9.5703125" style="5" customWidth="1"/>
    <col min="7" max="7" width="16" style="5" customWidth="1"/>
    <col min="8" max="8" width="10.140625" style="5" customWidth="1"/>
    <col min="9" max="9" width="16" style="5" customWidth="1"/>
    <col min="10" max="10" width="13.7109375" style="5" bestFit="1" customWidth="1"/>
    <col min="11" max="11" width="16.85546875" style="5" customWidth="1"/>
    <col min="12" max="12" width="21.5703125" style="5" customWidth="1"/>
    <col min="13" max="13" width="21.42578125" style="5" customWidth="1"/>
    <col min="14" max="16384" width="9.140625" style="4"/>
  </cols>
  <sheetData>
    <row r="1" spans="1:13" s="1" customFormat="1" ht="39.75" customHeight="1" x14ac:dyDescent="0.3">
      <c r="A1" s="126" t="s">
        <v>87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</row>
    <row r="2" spans="1:13" s="1" customFormat="1" ht="18.75" x14ac:dyDescent="0.3">
      <c r="E2" s="2"/>
      <c r="F2" s="2"/>
      <c r="G2" s="2"/>
      <c r="H2" s="2"/>
      <c r="I2" s="2"/>
      <c r="J2" s="2"/>
      <c r="K2" s="2"/>
      <c r="L2" s="2"/>
      <c r="M2" s="2"/>
    </row>
    <row r="3" spans="1:13" s="3" customFormat="1" ht="75" customHeight="1" x14ac:dyDescent="0.3">
      <c r="A3" s="110" t="s">
        <v>0</v>
      </c>
      <c r="B3" s="110" t="s">
        <v>1</v>
      </c>
      <c r="C3" s="110"/>
      <c r="D3" s="110"/>
      <c r="E3" s="113" t="s">
        <v>2</v>
      </c>
      <c r="F3" s="113"/>
      <c r="G3" s="113" t="s">
        <v>3</v>
      </c>
      <c r="H3" s="113"/>
      <c r="I3" s="113" t="s">
        <v>4</v>
      </c>
      <c r="J3" s="113"/>
      <c r="K3" s="113"/>
      <c r="L3" s="113"/>
      <c r="M3" s="113"/>
    </row>
    <row r="4" spans="1:13" s="3" customFormat="1" ht="18.75" x14ac:dyDescent="0.3">
      <c r="A4" s="110"/>
      <c r="B4" s="110"/>
      <c r="C4" s="110"/>
      <c r="D4" s="110"/>
      <c r="E4" s="113" t="s">
        <v>5</v>
      </c>
      <c r="F4" s="113" t="s">
        <v>6</v>
      </c>
      <c r="G4" s="113" t="s">
        <v>5</v>
      </c>
      <c r="H4" s="113" t="s">
        <v>6</v>
      </c>
      <c r="I4" s="113" t="s">
        <v>5</v>
      </c>
      <c r="J4" s="113" t="s">
        <v>6</v>
      </c>
      <c r="K4" s="114" t="s">
        <v>34</v>
      </c>
      <c r="L4" s="113"/>
      <c r="M4" s="113"/>
    </row>
    <row r="5" spans="1:13" s="3" customFormat="1" ht="57" customHeight="1" x14ac:dyDescent="0.3">
      <c r="A5" s="110"/>
      <c r="B5" s="110"/>
      <c r="C5" s="110"/>
      <c r="D5" s="110"/>
      <c r="E5" s="113"/>
      <c r="F5" s="113"/>
      <c r="G5" s="113"/>
      <c r="H5" s="113"/>
      <c r="I5" s="113"/>
      <c r="J5" s="113"/>
      <c r="K5" s="39" t="s">
        <v>7</v>
      </c>
      <c r="L5" s="39" t="s">
        <v>8</v>
      </c>
      <c r="M5" s="39" t="s">
        <v>9</v>
      </c>
    </row>
    <row r="6" spans="1:13" s="3" customFormat="1" ht="18.75" x14ac:dyDescent="0.3">
      <c r="A6" s="110"/>
      <c r="B6" s="110" t="s">
        <v>10</v>
      </c>
      <c r="C6" s="110"/>
      <c r="D6" s="110"/>
      <c r="E6" s="39" t="s">
        <v>11</v>
      </c>
      <c r="F6" s="39" t="s">
        <v>12</v>
      </c>
      <c r="G6" s="39" t="s">
        <v>13</v>
      </c>
      <c r="H6" s="39" t="s">
        <v>14</v>
      </c>
      <c r="I6" s="39" t="s">
        <v>15</v>
      </c>
      <c r="J6" s="39" t="s">
        <v>16</v>
      </c>
      <c r="K6" s="39" t="s">
        <v>17</v>
      </c>
      <c r="L6" s="39" t="s">
        <v>18</v>
      </c>
      <c r="M6" s="39" t="s">
        <v>19</v>
      </c>
    </row>
    <row r="7" spans="1:13" s="3" customFormat="1" ht="18.75" x14ac:dyDescent="0.3">
      <c r="A7" s="37" t="s">
        <v>20</v>
      </c>
      <c r="B7" s="110" t="s">
        <v>21</v>
      </c>
      <c r="C7" s="110"/>
      <c r="D7" s="110"/>
      <c r="E7" s="39"/>
      <c r="F7" s="39"/>
      <c r="G7" s="39"/>
      <c r="H7" s="39"/>
      <c r="I7" s="39"/>
      <c r="J7" s="39"/>
      <c r="K7" s="39"/>
      <c r="L7" s="39"/>
      <c r="M7" s="39"/>
    </row>
    <row r="8" spans="1:13" s="3" customFormat="1" ht="18.75" x14ac:dyDescent="0.3">
      <c r="A8" s="37" t="s">
        <v>11</v>
      </c>
      <c r="B8" s="110" t="s">
        <v>22</v>
      </c>
      <c r="C8" s="110" t="s">
        <v>23</v>
      </c>
      <c r="D8" s="40" t="s">
        <v>24</v>
      </c>
      <c r="E8" s="39">
        <f>6+6+1+6+2</f>
        <v>21</v>
      </c>
      <c r="F8" s="39">
        <f>24.06+30+10+30+10</f>
        <v>104.06</v>
      </c>
      <c r="G8" s="39">
        <f>6+6+6</f>
        <v>18</v>
      </c>
      <c r="H8" s="39">
        <f>24.06+30+30</f>
        <v>84.06</v>
      </c>
      <c r="I8" s="39"/>
      <c r="J8" s="39"/>
      <c r="K8" s="39"/>
      <c r="L8" s="39"/>
      <c r="M8" s="39"/>
    </row>
    <row r="9" spans="1:13" s="3" customFormat="1" ht="37.5" x14ac:dyDescent="0.3">
      <c r="A9" s="37" t="s">
        <v>12</v>
      </c>
      <c r="B9" s="110"/>
      <c r="C9" s="110"/>
      <c r="D9" s="40" t="s">
        <v>25</v>
      </c>
      <c r="E9" s="39">
        <f>3+9</f>
        <v>12</v>
      </c>
      <c r="F9" s="39">
        <f>12+39</f>
        <v>51</v>
      </c>
      <c r="G9" s="39">
        <f>3+6</f>
        <v>9</v>
      </c>
      <c r="H9" s="39">
        <f>12+23</f>
        <v>35</v>
      </c>
      <c r="I9" s="39"/>
      <c r="J9" s="39"/>
      <c r="K9" s="39"/>
      <c r="L9" s="39"/>
      <c r="M9" s="39"/>
    </row>
    <row r="10" spans="1:13" s="3" customFormat="1" ht="18.75" x14ac:dyDescent="0.3">
      <c r="A10" s="37" t="s">
        <v>13</v>
      </c>
      <c r="B10" s="110"/>
      <c r="C10" s="110" t="s">
        <v>26</v>
      </c>
      <c r="D10" s="40" t="s">
        <v>24</v>
      </c>
      <c r="E10" s="39">
        <f>1+4</f>
        <v>5</v>
      </c>
      <c r="F10" s="39">
        <f>10+25.48</f>
        <v>35.480000000000004</v>
      </c>
      <c r="G10" s="39">
        <f>1+3</f>
        <v>4</v>
      </c>
      <c r="H10" s="39">
        <f>10+13.86</f>
        <v>23.86</v>
      </c>
      <c r="I10" s="39"/>
      <c r="J10" s="39"/>
      <c r="K10" s="39"/>
      <c r="L10" s="39"/>
      <c r="M10" s="39"/>
    </row>
    <row r="11" spans="1:13" s="3" customFormat="1" ht="37.5" x14ac:dyDescent="0.3">
      <c r="A11" s="37" t="s">
        <v>14</v>
      </c>
      <c r="B11" s="110"/>
      <c r="C11" s="110"/>
      <c r="D11" s="40" t="s">
        <v>25</v>
      </c>
      <c r="E11" s="39">
        <f>1</f>
        <v>1</v>
      </c>
      <c r="F11" s="39">
        <f>13</f>
        <v>13</v>
      </c>
      <c r="G11" s="39">
        <f>1</f>
        <v>1</v>
      </c>
      <c r="H11" s="39">
        <f>13</f>
        <v>13</v>
      </c>
      <c r="I11" s="39"/>
      <c r="J11" s="39"/>
      <c r="K11" s="39"/>
      <c r="L11" s="39"/>
      <c r="M11" s="39"/>
    </row>
    <row r="12" spans="1:13" s="3" customFormat="1" ht="37.5" x14ac:dyDescent="0.3">
      <c r="A12" s="37" t="s">
        <v>15</v>
      </c>
      <c r="B12" s="110" t="s">
        <v>27</v>
      </c>
      <c r="C12" s="37" t="s">
        <v>23</v>
      </c>
      <c r="D12" s="40" t="s">
        <v>25</v>
      </c>
      <c r="E12" s="39">
        <f>1</f>
        <v>1</v>
      </c>
      <c r="F12" s="39">
        <f>20</f>
        <v>20</v>
      </c>
      <c r="G12" s="39"/>
      <c r="H12" s="39"/>
      <c r="I12" s="39"/>
      <c r="J12" s="39"/>
      <c r="K12" s="39"/>
      <c r="L12" s="39"/>
      <c r="M12" s="39"/>
    </row>
    <row r="13" spans="1:13" s="3" customFormat="1" ht="37.5" x14ac:dyDescent="0.3">
      <c r="A13" s="37" t="s">
        <v>16</v>
      </c>
      <c r="B13" s="110"/>
      <c r="C13" s="37" t="s">
        <v>26</v>
      </c>
      <c r="D13" s="40" t="s">
        <v>25</v>
      </c>
      <c r="E13" s="39"/>
      <c r="F13" s="39"/>
      <c r="G13" s="39">
        <f>2</f>
        <v>2</v>
      </c>
      <c r="H13" s="39">
        <f>60.7</f>
        <v>60.7</v>
      </c>
      <c r="I13" s="39"/>
      <c r="J13" s="39"/>
      <c r="K13" s="39"/>
      <c r="L13" s="39"/>
      <c r="M13" s="39"/>
    </row>
    <row r="14" spans="1:13" s="3" customFormat="1" ht="37.5" x14ac:dyDescent="0.3">
      <c r="A14" s="37">
        <v>8</v>
      </c>
      <c r="B14" s="110" t="s">
        <v>28</v>
      </c>
      <c r="C14" s="37" t="s">
        <v>23</v>
      </c>
      <c r="D14" s="40" t="s">
        <v>25</v>
      </c>
      <c r="E14" s="39"/>
      <c r="F14" s="39"/>
      <c r="G14" s="39"/>
      <c r="H14" s="39"/>
      <c r="I14" s="39"/>
      <c r="J14" s="39"/>
      <c r="K14" s="39"/>
      <c r="L14" s="39"/>
      <c r="M14" s="39"/>
    </row>
    <row r="15" spans="1:13" s="3" customFormat="1" ht="37.5" x14ac:dyDescent="0.3">
      <c r="A15" s="37" t="s">
        <v>18</v>
      </c>
      <c r="B15" s="110"/>
      <c r="C15" s="37" t="s">
        <v>26</v>
      </c>
      <c r="D15" s="40" t="s">
        <v>25</v>
      </c>
      <c r="E15" s="39"/>
      <c r="F15" s="39"/>
      <c r="G15" s="39"/>
      <c r="H15" s="39"/>
      <c r="I15" s="39"/>
      <c r="J15" s="39"/>
      <c r="K15" s="39"/>
      <c r="L15" s="39"/>
      <c r="M15" s="39"/>
    </row>
    <row r="16" spans="1:13" s="3" customFormat="1" ht="18.75" x14ac:dyDescent="0.3">
      <c r="A16" s="37" t="s">
        <v>19</v>
      </c>
      <c r="B16" s="110" t="s">
        <v>29</v>
      </c>
      <c r="C16" s="110"/>
      <c r="D16" s="110"/>
      <c r="E16" s="39"/>
      <c r="F16" s="39"/>
      <c r="G16" s="39"/>
      <c r="H16" s="39"/>
      <c r="I16" s="39"/>
      <c r="J16" s="39"/>
      <c r="K16" s="39"/>
      <c r="L16" s="39"/>
      <c r="M16" s="39"/>
    </row>
    <row r="17" spans="1:16" s="3" customFormat="1" ht="18.75" x14ac:dyDescent="0.3">
      <c r="A17" s="37" t="s">
        <v>30</v>
      </c>
      <c r="B17" s="110" t="s">
        <v>31</v>
      </c>
      <c r="C17" s="110"/>
      <c r="D17" s="110"/>
      <c r="E17" s="39">
        <f>E8+E9+E10+E11+E12+E13+E14+E15+E16</f>
        <v>40</v>
      </c>
      <c r="F17" s="39">
        <f t="shared" ref="F17:M17" si="0">F8+F9+F10+F11+F12+F13+F14+F15+F16</f>
        <v>223.54000000000002</v>
      </c>
      <c r="G17" s="39">
        <f t="shared" si="0"/>
        <v>34</v>
      </c>
      <c r="H17" s="39">
        <f t="shared" si="0"/>
        <v>216.62</v>
      </c>
      <c r="I17" s="39">
        <f t="shared" si="0"/>
        <v>0</v>
      </c>
      <c r="J17" s="39">
        <f t="shared" si="0"/>
        <v>0</v>
      </c>
      <c r="K17" s="39">
        <f t="shared" si="0"/>
        <v>0</v>
      </c>
      <c r="L17" s="39">
        <f t="shared" si="0"/>
        <v>0</v>
      </c>
      <c r="M17" s="39">
        <f t="shared" si="0"/>
        <v>0</v>
      </c>
    </row>
    <row r="18" spans="1:16" s="3" customFormat="1" ht="18.75" x14ac:dyDescent="0.3">
      <c r="A18" s="37" t="s">
        <v>32</v>
      </c>
      <c r="B18" s="110" t="s">
        <v>33</v>
      </c>
      <c r="C18" s="110"/>
      <c r="D18" s="110"/>
      <c r="E18" s="39"/>
      <c r="F18" s="39"/>
      <c r="G18" s="39"/>
      <c r="H18" s="39"/>
      <c r="I18" s="39"/>
      <c r="J18" s="39"/>
      <c r="K18" s="39"/>
      <c r="L18" s="39"/>
      <c r="M18" s="39"/>
    </row>
    <row r="21" spans="1:16" customFormat="1" x14ac:dyDescent="0.2">
      <c r="E21" s="6"/>
      <c r="F21" s="6"/>
      <c r="G21" s="6"/>
      <c r="H21" s="6"/>
      <c r="I21" s="6"/>
      <c r="J21" s="6"/>
      <c r="K21" s="6"/>
      <c r="L21" s="6"/>
      <c r="M21" s="6"/>
    </row>
    <row r="22" spans="1:16" s="1" customFormat="1" ht="18.75" x14ac:dyDescent="0.3">
      <c r="A22" s="7" t="s">
        <v>35</v>
      </c>
      <c r="E22" s="2"/>
      <c r="F22" s="2"/>
      <c r="G22" s="2"/>
      <c r="H22" s="2"/>
      <c r="I22" s="2"/>
      <c r="J22" s="2"/>
      <c r="K22" s="2"/>
      <c r="L22" s="2"/>
      <c r="M22" s="2"/>
    </row>
    <row r="23" spans="1:16" s="1" customFormat="1" ht="18.75" x14ac:dyDescent="0.3">
      <c r="E23" s="2"/>
      <c r="F23" s="2"/>
      <c r="G23" s="2"/>
      <c r="H23" s="2"/>
      <c r="I23" s="2"/>
      <c r="J23" s="2"/>
      <c r="K23" s="2"/>
      <c r="L23" s="2"/>
      <c r="M23" s="2"/>
    </row>
    <row r="24" spans="1:16" s="1" customFormat="1" ht="36.75" customHeight="1" x14ac:dyDescent="0.3">
      <c r="A24" s="111" t="s">
        <v>88</v>
      </c>
      <c r="B24" s="112"/>
      <c r="C24" s="112"/>
      <c r="D24" s="112"/>
      <c r="E24" s="112"/>
      <c r="F24" s="112"/>
      <c r="G24" s="112"/>
      <c r="H24" s="112"/>
      <c r="I24" s="112"/>
      <c r="J24" s="112"/>
      <c r="K24" s="112"/>
      <c r="L24" s="112"/>
      <c r="M24" s="112"/>
      <c r="N24" s="112"/>
      <c r="O24" s="112"/>
      <c r="P24" s="112"/>
    </row>
    <row r="25" spans="1:16" s="1" customFormat="1" ht="18.75" x14ac:dyDescent="0.3">
      <c r="E25" s="2"/>
      <c r="F25" s="2"/>
      <c r="G25" s="2"/>
      <c r="H25" s="2"/>
      <c r="I25" s="2"/>
      <c r="J25" s="2"/>
      <c r="K25" s="2"/>
      <c r="L25" s="2"/>
      <c r="M25" s="2"/>
    </row>
    <row r="26" spans="1:16" s="1" customFormat="1" ht="56.25" customHeight="1" x14ac:dyDescent="0.3">
      <c r="A26" s="128" t="s">
        <v>0</v>
      </c>
      <c r="B26" s="115" t="s">
        <v>36</v>
      </c>
      <c r="C26" s="115"/>
      <c r="D26" s="115"/>
      <c r="E26" s="113" t="s">
        <v>37</v>
      </c>
      <c r="F26" s="113"/>
      <c r="G26" s="116" t="s">
        <v>79</v>
      </c>
      <c r="H26" s="116"/>
      <c r="I26" s="116"/>
      <c r="J26" s="116"/>
      <c r="K26" s="116"/>
      <c r="L26" s="116"/>
      <c r="M26" s="117" t="s">
        <v>38</v>
      </c>
      <c r="N26" s="117"/>
      <c r="O26" s="117" t="s">
        <v>39</v>
      </c>
      <c r="P26" s="117"/>
    </row>
    <row r="27" spans="1:16" s="1" customFormat="1" ht="20.25" customHeight="1" x14ac:dyDescent="0.3">
      <c r="A27" s="129"/>
      <c r="B27" s="115"/>
      <c r="C27" s="115"/>
      <c r="D27" s="115"/>
      <c r="E27" s="118" t="s">
        <v>40</v>
      </c>
      <c r="F27" s="119" t="s">
        <v>41</v>
      </c>
      <c r="G27" s="118" t="s">
        <v>40</v>
      </c>
      <c r="H27" s="119" t="s">
        <v>41</v>
      </c>
      <c r="I27" s="116" t="s">
        <v>42</v>
      </c>
      <c r="J27" s="116"/>
      <c r="K27" s="116"/>
      <c r="L27" s="116"/>
      <c r="M27" s="118" t="s">
        <v>40</v>
      </c>
      <c r="N27" s="119" t="s">
        <v>41</v>
      </c>
      <c r="O27" s="118" t="s">
        <v>40</v>
      </c>
      <c r="P27" s="119" t="s">
        <v>41</v>
      </c>
    </row>
    <row r="28" spans="1:16" s="1" customFormat="1" ht="18.75" x14ac:dyDescent="0.3">
      <c r="A28" s="129"/>
      <c r="B28" s="115"/>
      <c r="C28" s="115"/>
      <c r="D28" s="115"/>
      <c r="E28" s="118"/>
      <c r="F28" s="119"/>
      <c r="G28" s="118"/>
      <c r="H28" s="119"/>
      <c r="I28" s="120" t="s">
        <v>43</v>
      </c>
      <c r="J28" s="116" t="s">
        <v>44</v>
      </c>
      <c r="K28" s="116"/>
      <c r="L28" s="36" t="s">
        <v>45</v>
      </c>
      <c r="M28" s="118"/>
      <c r="N28" s="119"/>
      <c r="O28" s="118"/>
      <c r="P28" s="119"/>
    </row>
    <row r="29" spans="1:16" s="1" customFormat="1" ht="96" customHeight="1" x14ac:dyDescent="0.3">
      <c r="A29" s="130"/>
      <c r="B29" s="115"/>
      <c r="C29" s="115"/>
      <c r="D29" s="115"/>
      <c r="E29" s="118"/>
      <c r="F29" s="119"/>
      <c r="G29" s="118"/>
      <c r="H29" s="119"/>
      <c r="I29" s="120"/>
      <c r="J29" s="39" t="s">
        <v>46</v>
      </c>
      <c r="K29" s="39" t="s">
        <v>47</v>
      </c>
      <c r="L29" s="39" t="s">
        <v>48</v>
      </c>
      <c r="M29" s="118"/>
      <c r="N29" s="119"/>
      <c r="O29" s="118"/>
      <c r="P29" s="119"/>
    </row>
    <row r="30" spans="1:16" s="2" customFormat="1" ht="18.75" x14ac:dyDescent="0.3">
      <c r="A30" s="36"/>
      <c r="B30" s="116" t="s">
        <v>49</v>
      </c>
      <c r="C30" s="116"/>
      <c r="D30" s="116"/>
      <c r="E30" s="36" t="s">
        <v>50</v>
      </c>
      <c r="F30" s="36" t="s">
        <v>51</v>
      </c>
      <c r="G30" s="36" t="s">
        <v>52</v>
      </c>
      <c r="H30" s="36" t="s">
        <v>53</v>
      </c>
      <c r="I30" s="36" t="s">
        <v>54</v>
      </c>
      <c r="J30" s="36" t="s">
        <v>55</v>
      </c>
      <c r="K30" s="36" t="s">
        <v>56</v>
      </c>
      <c r="L30" s="36" t="s">
        <v>57</v>
      </c>
      <c r="M30" s="36" t="s">
        <v>58</v>
      </c>
      <c r="N30" s="36">
        <v>11</v>
      </c>
      <c r="O30" s="36" t="s">
        <v>59</v>
      </c>
      <c r="P30" s="36" t="s">
        <v>60</v>
      </c>
    </row>
    <row r="31" spans="1:16" s="1" customFormat="1" ht="18.75" x14ac:dyDescent="0.3">
      <c r="A31" s="33" t="s">
        <v>49</v>
      </c>
      <c r="B31" s="122" t="s">
        <v>61</v>
      </c>
      <c r="C31" s="123" t="s">
        <v>62</v>
      </c>
      <c r="D31" s="17" t="s">
        <v>63</v>
      </c>
      <c r="E31" s="35">
        <f>6+4</f>
        <v>10</v>
      </c>
      <c r="F31" s="35">
        <f>24.06+18</f>
        <v>42.06</v>
      </c>
      <c r="G31" s="38"/>
      <c r="H31" s="38"/>
      <c r="I31" s="38"/>
      <c r="J31" s="38"/>
      <c r="K31" s="38"/>
      <c r="L31" s="38"/>
      <c r="M31" s="35">
        <f>17+4</f>
        <v>21</v>
      </c>
      <c r="N31" s="35">
        <f>68.17+18</f>
        <v>86.17</v>
      </c>
      <c r="O31" s="35">
        <f>17+4</f>
        <v>21</v>
      </c>
      <c r="P31" s="35">
        <f>68.17+25</f>
        <v>93.17</v>
      </c>
    </row>
    <row r="32" spans="1:16" s="1" customFormat="1" ht="37.5" x14ac:dyDescent="0.3">
      <c r="A32" s="33" t="s">
        <v>50</v>
      </c>
      <c r="B32" s="122"/>
      <c r="C32" s="123"/>
      <c r="D32" s="18" t="s">
        <v>64</v>
      </c>
      <c r="E32" s="38">
        <f>3+2+9</f>
        <v>14</v>
      </c>
      <c r="F32" s="38">
        <f>12+10+39</f>
        <v>61</v>
      </c>
      <c r="G32" s="38"/>
      <c r="H32" s="38"/>
      <c r="I32" s="38"/>
      <c r="J32" s="38"/>
      <c r="K32" s="38"/>
      <c r="L32" s="38"/>
      <c r="M32" s="38">
        <f>22+2+6</f>
        <v>30</v>
      </c>
      <c r="N32" s="38">
        <f>88.22+10+23</f>
        <v>121.22</v>
      </c>
      <c r="O32" s="38">
        <f>22+2+7</f>
        <v>31</v>
      </c>
      <c r="P32" s="38">
        <f>88.22+5.27+31.42</f>
        <v>124.91</v>
      </c>
    </row>
    <row r="33" spans="1:16" s="1" customFormat="1" ht="18.75" x14ac:dyDescent="0.3">
      <c r="A33" s="33" t="s">
        <v>51</v>
      </c>
      <c r="B33" s="122"/>
      <c r="C33" s="123" t="s">
        <v>65</v>
      </c>
      <c r="D33" s="17" t="s">
        <v>63</v>
      </c>
      <c r="E33" s="38"/>
      <c r="F33" s="38"/>
      <c r="G33" s="38"/>
      <c r="H33" s="38"/>
      <c r="I33" s="38"/>
      <c r="J33" s="38"/>
      <c r="K33" s="38"/>
      <c r="L33" s="38"/>
      <c r="M33" s="38">
        <f>1+1</f>
        <v>2</v>
      </c>
      <c r="N33" s="38">
        <f>5.2+9</f>
        <v>14.2</v>
      </c>
      <c r="O33" s="38">
        <f>1</f>
        <v>1</v>
      </c>
      <c r="P33" s="38">
        <f>5.2</f>
        <v>5.2</v>
      </c>
    </row>
    <row r="34" spans="1:16" s="1" customFormat="1" ht="37.5" x14ac:dyDescent="0.3">
      <c r="A34" s="33" t="s">
        <v>52</v>
      </c>
      <c r="B34" s="122"/>
      <c r="C34" s="123"/>
      <c r="D34" s="40" t="s">
        <v>25</v>
      </c>
      <c r="E34" s="38">
        <f>1+1</f>
        <v>2</v>
      </c>
      <c r="F34" s="38">
        <f>13+10</f>
        <v>23</v>
      </c>
      <c r="G34" s="38"/>
      <c r="H34" s="38"/>
      <c r="I34" s="38"/>
      <c r="J34" s="38"/>
      <c r="K34" s="38"/>
      <c r="L34" s="38"/>
      <c r="M34" s="38">
        <f>1</f>
        <v>1</v>
      </c>
      <c r="N34" s="38">
        <f>10</f>
        <v>10</v>
      </c>
      <c r="O34" s="38">
        <f>1</f>
        <v>1</v>
      </c>
      <c r="P34" s="38">
        <f>15</f>
        <v>15</v>
      </c>
    </row>
    <row r="35" spans="1:16" s="1" customFormat="1" ht="37.5" x14ac:dyDescent="0.3">
      <c r="A35" s="33" t="s">
        <v>53</v>
      </c>
      <c r="B35" s="125" t="s">
        <v>66</v>
      </c>
      <c r="C35" s="34" t="s">
        <v>62</v>
      </c>
      <c r="D35" s="40" t="s">
        <v>25</v>
      </c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</row>
    <row r="36" spans="1:16" s="1" customFormat="1" ht="51" customHeight="1" x14ac:dyDescent="0.3">
      <c r="A36" s="33" t="s">
        <v>54</v>
      </c>
      <c r="B36" s="125"/>
      <c r="C36" s="34" t="s">
        <v>65</v>
      </c>
      <c r="D36" s="40" t="s">
        <v>25</v>
      </c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>
        <f>1+1</f>
        <v>2</v>
      </c>
      <c r="P36" s="38">
        <f>74+250</f>
        <v>324</v>
      </c>
    </row>
    <row r="37" spans="1:16" s="1" customFormat="1" ht="51.75" customHeight="1" x14ac:dyDescent="0.3">
      <c r="A37" s="33" t="s">
        <v>55</v>
      </c>
      <c r="B37" s="125" t="s">
        <v>67</v>
      </c>
      <c r="C37" s="34" t="s">
        <v>62</v>
      </c>
      <c r="D37" s="40" t="s">
        <v>25</v>
      </c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</row>
    <row r="38" spans="1:16" s="1" customFormat="1" ht="37.5" x14ac:dyDescent="0.3">
      <c r="A38" s="33" t="s">
        <v>56</v>
      </c>
      <c r="B38" s="125"/>
      <c r="C38" s="37" t="s">
        <v>26</v>
      </c>
      <c r="D38" s="40" t="s">
        <v>25</v>
      </c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</row>
    <row r="39" spans="1:16" s="1" customFormat="1" ht="58.5" customHeight="1" x14ac:dyDescent="0.3">
      <c r="A39" s="33" t="s">
        <v>57</v>
      </c>
      <c r="B39" s="125" t="s">
        <v>68</v>
      </c>
      <c r="C39" s="123" t="s">
        <v>69</v>
      </c>
      <c r="D39" s="123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</row>
    <row r="40" spans="1:16" s="1" customFormat="1" ht="24" customHeight="1" x14ac:dyDescent="0.3">
      <c r="A40" s="33" t="s">
        <v>58</v>
      </c>
      <c r="B40" s="125"/>
      <c r="C40" s="123" t="s">
        <v>70</v>
      </c>
      <c r="D40" s="123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</row>
    <row r="41" spans="1:16" s="1" customFormat="1" ht="60" customHeight="1" x14ac:dyDescent="0.3">
      <c r="A41" s="33" t="s">
        <v>71</v>
      </c>
      <c r="B41" s="125"/>
      <c r="C41" s="123" t="s">
        <v>72</v>
      </c>
      <c r="D41" s="123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</row>
    <row r="42" spans="1:16" s="1" customFormat="1" ht="18.75" x14ac:dyDescent="0.3">
      <c r="A42" s="33" t="s">
        <v>59</v>
      </c>
      <c r="B42" s="125"/>
      <c r="C42" s="124" t="s">
        <v>73</v>
      </c>
      <c r="D42" s="124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</row>
    <row r="43" spans="1:16" s="1" customFormat="1" ht="63.75" customHeight="1" x14ac:dyDescent="0.3">
      <c r="A43" s="33" t="s">
        <v>60</v>
      </c>
      <c r="B43" s="125"/>
      <c r="C43" s="123" t="s">
        <v>74</v>
      </c>
      <c r="D43" s="123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</row>
    <row r="44" spans="1:16" s="1" customFormat="1" ht="59.25" customHeight="1" x14ac:dyDescent="0.3">
      <c r="A44" s="33" t="s">
        <v>75</v>
      </c>
      <c r="B44" s="125"/>
      <c r="C44" s="123" t="s">
        <v>76</v>
      </c>
      <c r="D44" s="123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</row>
    <row r="45" spans="1:16" s="1" customFormat="1" ht="18.75" x14ac:dyDescent="0.3">
      <c r="A45" s="33" t="s">
        <v>77</v>
      </c>
      <c r="B45" s="124" t="s">
        <v>78</v>
      </c>
      <c r="C45" s="124"/>
      <c r="D45" s="124"/>
      <c r="E45" s="35">
        <f>E31+E32+E33+E34+E35+E36+E37+E38+E39+E40+E41+E43+E42+E44</f>
        <v>26</v>
      </c>
      <c r="F45" s="35">
        <f t="shared" ref="F45:P45" si="1">F31+F32+F33+F34+F35+F36+F37+F38+F39+F40+F41+F43+F42+F44</f>
        <v>126.06</v>
      </c>
      <c r="G45" s="35">
        <f t="shared" si="1"/>
        <v>0</v>
      </c>
      <c r="H45" s="35">
        <f t="shared" si="1"/>
        <v>0</v>
      </c>
      <c r="I45" s="35">
        <f t="shared" si="1"/>
        <v>0</v>
      </c>
      <c r="J45" s="35">
        <f t="shared" si="1"/>
        <v>0</v>
      </c>
      <c r="K45" s="35">
        <f t="shared" si="1"/>
        <v>0</v>
      </c>
      <c r="L45" s="35">
        <f t="shared" si="1"/>
        <v>0</v>
      </c>
      <c r="M45" s="35">
        <f t="shared" si="1"/>
        <v>54</v>
      </c>
      <c r="N45" s="35">
        <f t="shared" si="1"/>
        <v>231.58999999999997</v>
      </c>
      <c r="O45" s="35">
        <f t="shared" si="1"/>
        <v>56</v>
      </c>
      <c r="P45" s="35">
        <f t="shared" si="1"/>
        <v>562.28</v>
      </c>
    </row>
    <row r="46" spans="1:16" customFormat="1" x14ac:dyDescent="0.2">
      <c r="E46" s="6"/>
      <c r="F46" s="6"/>
      <c r="G46" s="6"/>
      <c r="H46" s="6"/>
      <c r="I46" s="6"/>
      <c r="J46" s="6"/>
      <c r="K46" s="6"/>
      <c r="L46" s="6"/>
      <c r="M46" s="6"/>
    </row>
    <row r="47" spans="1:16" ht="18.75" x14ac:dyDescent="0.2">
      <c r="A47" s="32" t="s">
        <v>86</v>
      </c>
    </row>
  </sheetData>
  <mergeCells count="55">
    <mergeCell ref="B45:D45"/>
    <mergeCell ref="A26:A29"/>
    <mergeCell ref="B39:B44"/>
    <mergeCell ref="C39:D39"/>
    <mergeCell ref="C40:D40"/>
    <mergeCell ref="C41:D41"/>
    <mergeCell ref="C42:D42"/>
    <mergeCell ref="C43:D43"/>
    <mergeCell ref="C44:D44"/>
    <mergeCell ref="B30:D30"/>
    <mergeCell ref="B31:B34"/>
    <mergeCell ref="C31:C32"/>
    <mergeCell ref="C33:C34"/>
    <mergeCell ref="B35:B36"/>
    <mergeCell ref="B37:B38"/>
    <mergeCell ref="B26:D29"/>
    <mergeCell ref="E26:F26"/>
    <mergeCell ref="G26:L26"/>
    <mergeCell ref="M26:N26"/>
    <mergeCell ref="O26:P26"/>
    <mergeCell ref="E27:E29"/>
    <mergeCell ref="F27:F29"/>
    <mergeCell ref="G27:G29"/>
    <mergeCell ref="H27:H29"/>
    <mergeCell ref="I27:L27"/>
    <mergeCell ref="M27:M29"/>
    <mergeCell ref="N27:N29"/>
    <mergeCell ref="O27:O29"/>
    <mergeCell ref="P27:P29"/>
    <mergeCell ref="I28:I29"/>
    <mergeCell ref="J28:K28"/>
    <mergeCell ref="A24:P24"/>
    <mergeCell ref="I4:I5"/>
    <mergeCell ref="J4:J5"/>
    <mergeCell ref="K4:M4"/>
    <mergeCell ref="B6:D6"/>
    <mergeCell ref="B7:D7"/>
    <mergeCell ref="B8:B11"/>
    <mergeCell ref="C8:C9"/>
    <mergeCell ref="C10:C11"/>
    <mergeCell ref="B12:B13"/>
    <mergeCell ref="B14:B15"/>
    <mergeCell ref="B16:D16"/>
    <mergeCell ref="B17:D17"/>
    <mergeCell ref="B18:D18"/>
    <mergeCell ref="A1:M1"/>
    <mergeCell ref="A3:A6"/>
    <mergeCell ref="B3:D5"/>
    <mergeCell ref="E3:F3"/>
    <mergeCell ref="G3:H3"/>
    <mergeCell ref="I3:M3"/>
    <mergeCell ref="E4:E5"/>
    <mergeCell ref="F4:F5"/>
    <mergeCell ref="G4:G5"/>
    <mergeCell ref="H4:H5"/>
  </mergeCells>
  <pageMargins left="0.7" right="0.7" top="0.75" bottom="0.75" header="0.3" footer="0.3"/>
  <pageSetup paperSize="9" scale="32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7"/>
  <sheetViews>
    <sheetView zoomScale="70" zoomScaleNormal="70" workbookViewId="0">
      <selection sqref="A1:XFD1048576"/>
    </sheetView>
  </sheetViews>
  <sheetFormatPr defaultRowHeight="12.75" x14ac:dyDescent="0.2"/>
  <cols>
    <col min="1" max="1" width="4.5703125" style="4" customWidth="1"/>
    <col min="2" max="2" width="18" style="4" customWidth="1"/>
    <col min="3" max="3" width="18.28515625" style="4" customWidth="1"/>
    <col min="4" max="4" width="28.85546875" style="4" customWidth="1"/>
    <col min="5" max="5" width="15.5703125" style="5" customWidth="1"/>
    <col min="6" max="6" width="9.5703125" style="5" customWidth="1"/>
    <col min="7" max="7" width="16" style="5" customWidth="1"/>
    <col min="8" max="8" width="10.140625" style="5" customWidth="1"/>
    <col min="9" max="9" width="16" style="5" customWidth="1"/>
    <col min="10" max="10" width="13.7109375" style="5" bestFit="1" customWidth="1"/>
    <col min="11" max="11" width="16.85546875" style="5" customWidth="1"/>
    <col min="12" max="12" width="21.5703125" style="5" customWidth="1"/>
    <col min="13" max="13" width="21.42578125" style="5" customWidth="1"/>
    <col min="14" max="16384" width="9.140625" style="4"/>
  </cols>
  <sheetData>
    <row r="1" spans="1:13" s="1" customFormat="1" ht="39.75" customHeight="1" x14ac:dyDescent="0.3">
      <c r="A1" s="126" t="s">
        <v>89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</row>
    <row r="2" spans="1:13" s="1" customFormat="1" ht="18.75" x14ac:dyDescent="0.3">
      <c r="E2" s="2"/>
      <c r="F2" s="2"/>
      <c r="G2" s="2"/>
      <c r="H2" s="2"/>
      <c r="I2" s="2"/>
      <c r="J2" s="2"/>
      <c r="K2" s="2"/>
      <c r="L2" s="2"/>
      <c r="M2" s="2"/>
    </row>
    <row r="3" spans="1:13" s="3" customFormat="1" ht="75" customHeight="1" x14ac:dyDescent="0.3">
      <c r="A3" s="110" t="s">
        <v>0</v>
      </c>
      <c r="B3" s="110" t="s">
        <v>1</v>
      </c>
      <c r="C3" s="110"/>
      <c r="D3" s="110"/>
      <c r="E3" s="113" t="s">
        <v>2</v>
      </c>
      <c r="F3" s="113"/>
      <c r="G3" s="113" t="s">
        <v>3</v>
      </c>
      <c r="H3" s="113"/>
      <c r="I3" s="113" t="s">
        <v>4</v>
      </c>
      <c r="J3" s="113"/>
      <c r="K3" s="113"/>
      <c r="L3" s="113"/>
      <c r="M3" s="113"/>
    </row>
    <row r="4" spans="1:13" s="3" customFormat="1" ht="18.75" x14ac:dyDescent="0.3">
      <c r="A4" s="110"/>
      <c r="B4" s="110"/>
      <c r="C4" s="110"/>
      <c r="D4" s="110"/>
      <c r="E4" s="113" t="s">
        <v>5</v>
      </c>
      <c r="F4" s="113" t="s">
        <v>6</v>
      </c>
      <c r="G4" s="113" t="s">
        <v>5</v>
      </c>
      <c r="H4" s="113" t="s">
        <v>6</v>
      </c>
      <c r="I4" s="113" t="s">
        <v>5</v>
      </c>
      <c r="J4" s="113" t="s">
        <v>6</v>
      </c>
      <c r="K4" s="114" t="s">
        <v>34</v>
      </c>
      <c r="L4" s="113"/>
      <c r="M4" s="113"/>
    </row>
    <row r="5" spans="1:13" s="3" customFormat="1" ht="57" customHeight="1" x14ac:dyDescent="0.3">
      <c r="A5" s="110"/>
      <c r="B5" s="110"/>
      <c r="C5" s="110"/>
      <c r="D5" s="110"/>
      <c r="E5" s="113"/>
      <c r="F5" s="113"/>
      <c r="G5" s="113"/>
      <c r="H5" s="113"/>
      <c r="I5" s="113"/>
      <c r="J5" s="113"/>
      <c r="K5" s="47" t="s">
        <v>7</v>
      </c>
      <c r="L5" s="47" t="s">
        <v>8</v>
      </c>
      <c r="M5" s="47" t="s">
        <v>9</v>
      </c>
    </row>
    <row r="6" spans="1:13" s="3" customFormat="1" ht="18.75" x14ac:dyDescent="0.3">
      <c r="A6" s="110"/>
      <c r="B6" s="110" t="s">
        <v>10</v>
      </c>
      <c r="C6" s="110"/>
      <c r="D6" s="110"/>
      <c r="E6" s="47" t="s">
        <v>11</v>
      </c>
      <c r="F6" s="47" t="s">
        <v>12</v>
      </c>
      <c r="G6" s="47" t="s">
        <v>13</v>
      </c>
      <c r="H6" s="47" t="s">
        <v>14</v>
      </c>
      <c r="I6" s="47" t="s">
        <v>15</v>
      </c>
      <c r="J6" s="47" t="s">
        <v>16</v>
      </c>
      <c r="K6" s="47" t="s">
        <v>17</v>
      </c>
      <c r="L6" s="47" t="s">
        <v>18</v>
      </c>
      <c r="M6" s="47" t="s">
        <v>19</v>
      </c>
    </row>
    <row r="7" spans="1:13" s="3" customFormat="1" ht="18.75" x14ac:dyDescent="0.3">
      <c r="A7" s="45" t="s">
        <v>20</v>
      </c>
      <c r="B7" s="110" t="s">
        <v>21</v>
      </c>
      <c r="C7" s="110"/>
      <c r="D7" s="110"/>
      <c r="E7" s="47"/>
      <c r="F7" s="47"/>
      <c r="G7" s="47"/>
      <c r="H7" s="47"/>
      <c r="I7" s="47"/>
      <c r="J7" s="47"/>
      <c r="K7" s="47"/>
      <c r="L7" s="47"/>
      <c r="M7" s="47"/>
    </row>
    <row r="8" spans="1:13" s="3" customFormat="1" ht="18.75" x14ac:dyDescent="0.3">
      <c r="A8" s="45" t="s">
        <v>11</v>
      </c>
      <c r="B8" s="110" t="s">
        <v>22</v>
      </c>
      <c r="C8" s="110" t="s">
        <v>23</v>
      </c>
      <c r="D8" s="48" t="s">
        <v>24</v>
      </c>
      <c r="E8" s="43">
        <f>2+6+5+1+1</f>
        <v>15</v>
      </c>
      <c r="F8" s="43">
        <f>10+40+25+9.15+5</f>
        <v>89.15</v>
      </c>
      <c r="G8" s="43">
        <f>2+6+5+1</f>
        <v>14</v>
      </c>
      <c r="H8" s="43">
        <f>10+40+25+9.15</f>
        <v>84.15</v>
      </c>
      <c r="I8" s="43"/>
      <c r="J8" s="43"/>
      <c r="K8" s="43"/>
      <c r="L8" s="43"/>
      <c r="M8" s="43"/>
    </row>
    <row r="9" spans="1:13" s="3" customFormat="1" ht="37.5" x14ac:dyDescent="0.3">
      <c r="A9" s="45" t="s">
        <v>12</v>
      </c>
      <c r="B9" s="110"/>
      <c r="C9" s="110"/>
      <c r="D9" s="48" t="s">
        <v>25</v>
      </c>
      <c r="E9" s="43">
        <f>5+14</f>
        <v>19</v>
      </c>
      <c r="F9" s="43">
        <f>25+60</f>
        <v>85</v>
      </c>
      <c r="G9" s="43">
        <f>5+6</f>
        <v>11</v>
      </c>
      <c r="H9" s="43">
        <f>25+26.4</f>
        <v>51.4</v>
      </c>
      <c r="I9" s="43"/>
      <c r="J9" s="43"/>
      <c r="K9" s="43"/>
      <c r="L9" s="43"/>
      <c r="M9" s="43"/>
    </row>
    <row r="10" spans="1:13" s="3" customFormat="1" ht="18.75" x14ac:dyDescent="0.3">
      <c r="A10" s="45" t="s">
        <v>13</v>
      </c>
      <c r="B10" s="110"/>
      <c r="C10" s="110" t="s">
        <v>26</v>
      </c>
      <c r="D10" s="48" t="s">
        <v>24</v>
      </c>
      <c r="E10" s="43">
        <f>3+3</f>
        <v>6</v>
      </c>
      <c r="F10" s="43">
        <f>17.98+33</f>
        <v>50.980000000000004</v>
      </c>
      <c r="G10" s="43">
        <f>1+3</f>
        <v>4</v>
      </c>
      <c r="H10" s="43">
        <f>5+33</f>
        <v>38</v>
      </c>
      <c r="I10" s="43"/>
      <c r="J10" s="43"/>
      <c r="K10" s="43"/>
      <c r="L10" s="43"/>
      <c r="M10" s="43"/>
    </row>
    <row r="11" spans="1:13" s="3" customFormat="1" ht="37.5" x14ac:dyDescent="0.3">
      <c r="A11" s="45" t="s">
        <v>14</v>
      </c>
      <c r="B11" s="110"/>
      <c r="C11" s="110"/>
      <c r="D11" s="48" t="s">
        <v>25</v>
      </c>
      <c r="E11" s="43">
        <f>1+1</f>
        <v>2</v>
      </c>
      <c r="F11" s="43">
        <f>12+5</f>
        <v>17</v>
      </c>
      <c r="G11" s="43">
        <f>1+1</f>
        <v>2</v>
      </c>
      <c r="H11" s="43">
        <f>12</f>
        <v>12</v>
      </c>
      <c r="I11" s="43"/>
      <c r="J11" s="43"/>
      <c r="K11" s="43"/>
      <c r="L11" s="43"/>
      <c r="M11" s="43"/>
    </row>
    <row r="12" spans="1:13" s="3" customFormat="1" ht="37.5" x14ac:dyDescent="0.3">
      <c r="A12" s="45" t="s">
        <v>15</v>
      </c>
      <c r="B12" s="110" t="s">
        <v>27</v>
      </c>
      <c r="C12" s="45" t="s">
        <v>23</v>
      </c>
      <c r="D12" s="48" t="s">
        <v>25</v>
      </c>
      <c r="E12" s="43"/>
      <c r="F12" s="43"/>
      <c r="G12" s="43"/>
      <c r="H12" s="43"/>
      <c r="I12" s="43"/>
      <c r="J12" s="43"/>
      <c r="K12" s="43"/>
      <c r="L12" s="43"/>
      <c r="M12" s="43"/>
    </row>
    <row r="13" spans="1:13" s="3" customFormat="1" ht="37.5" x14ac:dyDescent="0.3">
      <c r="A13" s="45" t="s">
        <v>16</v>
      </c>
      <c r="B13" s="110"/>
      <c r="C13" s="45" t="s">
        <v>26</v>
      </c>
      <c r="D13" s="48" t="s">
        <v>25</v>
      </c>
      <c r="E13" s="43">
        <f>2</f>
        <v>2</v>
      </c>
      <c r="F13" s="43">
        <f>131.55</f>
        <v>131.55000000000001</v>
      </c>
      <c r="G13" s="43"/>
      <c r="H13" s="43"/>
      <c r="I13" s="43"/>
      <c r="J13" s="43"/>
      <c r="K13" s="43"/>
      <c r="L13" s="43"/>
      <c r="M13" s="43"/>
    </row>
    <row r="14" spans="1:13" s="3" customFormat="1" ht="37.5" x14ac:dyDescent="0.3">
      <c r="A14" s="45">
        <v>8</v>
      </c>
      <c r="B14" s="110" t="s">
        <v>28</v>
      </c>
      <c r="C14" s="45" t="s">
        <v>23</v>
      </c>
      <c r="D14" s="48" t="s">
        <v>25</v>
      </c>
      <c r="E14" s="43"/>
      <c r="F14" s="43"/>
      <c r="G14" s="43"/>
      <c r="H14" s="43"/>
      <c r="I14" s="43"/>
      <c r="J14" s="43"/>
      <c r="K14" s="43"/>
      <c r="L14" s="43"/>
      <c r="M14" s="43"/>
    </row>
    <row r="15" spans="1:13" s="3" customFormat="1" ht="37.5" x14ac:dyDescent="0.3">
      <c r="A15" s="45" t="s">
        <v>18</v>
      </c>
      <c r="B15" s="110"/>
      <c r="C15" s="45" t="s">
        <v>26</v>
      </c>
      <c r="D15" s="48" t="s">
        <v>25</v>
      </c>
      <c r="E15" s="43"/>
      <c r="F15" s="43"/>
      <c r="G15" s="43"/>
      <c r="H15" s="43"/>
      <c r="I15" s="43"/>
      <c r="J15" s="43"/>
      <c r="K15" s="43"/>
      <c r="L15" s="43"/>
      <c r="M15" s="43"/>
    </row>
    <row r="16" spans="1:13" s="3" customFormat="1" ht="18.75" x14ac:dyDescent="0.3">
      <c r="A16" s="45" t="s">
        <v>19</v>
      </c>
      <c r="B16" s="110" t="s">
        <v>29</v>
      </c>
      <c r="C16" s="110"/>
      <c r="D16" s="110"/>
      <c r="E16" s="43"/>
      <c r="F16" s="43"/>
      <c r="G16" s="43"/>
      <c r="H16" s="43"/>
      <c r="I16" s="43"/>
      <c r="J16" s="43"/>
      <c r="K16" s="43"/>
      <c r="L16" s="43"/>
      <c r="M16" s="43"/>
    </row>
    <row r="17" spans="1:16" s="3" customFormat="1" ht="18.75" x14ac:dyDescent="0.3">
      <c r="A17" s="45" t="s">
        <v>30</v>
      </c>
      <c r="B17" s="110" t="s">
        <v>31</v>
      </c>
      <c r="C17" s="110"/>
      <c r="D17" s="110"/>
      <c r="E17" s="43">
        <f>E8+E9+E10+E11+E12+E13+E14+E15+E16</f>
        <v>44</v>
      </c>
      <c r="F17" s="43">
        <f t="shared" ref="F17:M17" si="0">F8+F9+F10+F11+F12+F13+F14+F15+F16</f>
        <v>373.68</v>
      </c>
      <c r="G17" s="43">
        <f t="shared" si="0"/>
        <v>31</v>
      </c>
      <c r="H17" s="43">
        <f t="shared" si="0"/>
        <v>185.55</v>
      </c>
      <c r="I17" s="43">
        <f t="shared" si="0"/>
        <v>0</v>
      </c>
      <c r="J17" s="43">
        <f t="shared" si="0"/>
        <v>0</v>
      </c>
      <c r="K17" s="43">
        <f t="shared" si="0"/>
        <v>0</v>
      </c>
      <c r="L17" s="43">
        <f t="shared" si="0"/>
        <v>0</v>
      </c>
      <c r="M17" s="43">
        <f t="shared" si="0"/>
        <v>0</v>
      </c>
    </row>
    <row r="18" spans="1:16" s="3" customFormat="1" ht="18.75" x14ac:dyDescent="0.3">
      <c r="A18" s="45" t="s">
        <v>32</v>
      </c>
      <c r="B18" s="110" t="s">
        <v>33</v>
      </c>
      <c r="C18" s="110"/>
      <c r="D18" s="110"/>
      <c r="E18" s="43"/>
      <c r="F18" s="43"/>
      <c r="G18" s="43"/>
      <c r="H18" s="43"/>
      <c r="I18" s="43"/>
      <c r="J18" s="43"/>
      <c r="K18" s="43"/>
      <c r="L18" s="43"/>
      <c r="M18" s="43"/>
    </row>
    <row r="21" spans="1:16" customFormat="1" x14ac:dyDescent="0.2">
      <c r="E21" s="6"/>
      <c r="F21" s="6"/>
      <c r="G21" s="6"/>
      <c r="H21" s="6"/>
      <c r="I21" s="6"/>
      <c r="J21" s="6"/>
      <c r="K21" s="6"/>
      <c r="L21" s="6"/>
      <c r="M21" s="6"/>
    </row>
    <row r="22" spans="1:16" s="1" customFormat="1" ht="18.75" x14ac:dyDescent="0.3">
      <c r="A22" s="7" t="s">
        <v>35</v>
      </c>
      <c r="E22" s="2"/>
      <c r="F22" s="2"/>
      <c r="G22" s="2"/>
      <c r="H22" s="2"/>
      <c r="I22" s="2"/>
      <c r="J22" s="2"/>
      <c r="K22" s="2"/>
      <c r="L22" s="2"/>
      <c r="M22" s="2"/>
    </row>
    <row r="23" spans="1:16" s="1" customFormat="1" ht="18.75" x14ac:dyDescent="0.3">
      <c r="E23" s="2"/>
      <c r="F23" s="2"/>
      <c r="G23" s="2"/>
      <c r="H23" s="2"/>
      <c r="I23" s="2"/>
      <c r="J23" s="2"/>
      <c r="K23" s="2"/>
      <c r="L23" s="2"/>
      <c r="M23" s="2"/>
    </row>
    <row r="24" spans="1:16" s="1" customFormat="1" ht="36.75" customHeight="1" x14ac:dyDescent="0.3">
      <c r="A24" s="111" t="s">
        <v>90</v>
      </c>
      <c r="B24" s="112"/>
      <c r="C24" s="112"/>
      <c r="D24" s="112"/>
      <c r="E24" s="112"/>
      <c r="F24" s="112"/>
      <c r="G24" s="112"/>
      <c r="H24" s="112"/>
      <c r="I24" s="112"/>
      <c r="J24" s="112"/>
      <c r="K24" s="112"/>
      <c r="L24" s="112"/>
      <c r="M24" s="112"/>
      <c r="N24" s="112"/>
      <c r="O24" s="112"/>
      <c r="P24" s="112"/>
    </row>
    <row r="25" spans="1:16" s="1" customFormat="1" ht="18.75" x14ac:dyDescent="0.3">
      <c r="E25" s="2"/>
      <c r="F25" s="2"/>
      <c r="G25" s="2"/>
      <c r="H25" s="2"/>
      <c r="I25" s="2"/>
      <c r="J25" s="2"/>
      <c r="K25" s="2"/>
      <c r="L25" s="2"/>
      <c r="M25" s="2"/>
    </row>
    <row r="26" spans="1:16" s="1" customFormat="1" ht="56.25" customHeight="1" x14ac:dyDescent="0.3">
      <c r="A26" s="128" t="s">
        <v>0</v>
      </c>
      <c r="B26" s="115" t="s">
        <v>36</v>
      </c>
      <c r="C26" s="115"/>
      <c r="D26" s="115"/>
      <c r="E26" s="113" t="s">
        <v>37</v>
      </c>
      <c r="F26" s="113"/>
      <c r="G26" s="116" t="s">
        <v>79</v>
      </c>
      <c r="H26" s="116"/>
      <c r="I26" s="116"/>
      <c r="J26" s="116"/>
      <c r="K26" s="116"/>
      <c r="L26" s="116"/>
      <c r="M26" s="117" t="s">
        <v>38</v>
      </c>
      <c r="N26" s="117"/>
      <c r="O26" s="117" t="s">
        <v>39</v>
      </c>
      <c r="P26" s="117"/>
    </row>
    <row r="27" spans="1:16" s="1" customFormat="1" ht="20.25" customHeight="1" x14ac:dyDescent="0.3">
      <c r="A27" s="129"/>
      <c r="B27" s="115"/>
      <c r="C27" s="115"/>
      <c r="D27" s="115"/>
      <c r="E27" s="118" t="s">
        <v>40</v>
      </c>
      <c r="F27" s="119" t="s">
        <v>41</v>
      </c>
      <c r="G27" s="118" t="s">
        <v>40</v>
      </c>
      <c r="H27" s="119" t="s">
        <v>41</v>
      </c>
      <c r="I27" s="116" t="s">
        <v>42</v>
      </c>
      <c r="J27" s="116"/>
      <c r="K27" s="116"/>
      <c r="L27" s="116"/>
      <c r="M27" s="118" t="s">
        <v>40</v>
      </c>
      <c r="N27" s="119" t="s">
        <v>41</v>
      </c>
      <c r="O27" s="118" t="s">
        <v>40</v>
      </c>
      <c r="P27" s="119" t="s">
        <v>41</v>
      </c>
    </row>
    <row r="28" spans="1:16" s="1" customFormat="1" ht="18.75" x14ac:dyDescent="0.3">
      <c r="A28" s="129"/>
      <c r="B28" s="115"/>
      <c r="C28" s="115"/>
      <c r="D28" s="115"/>
      <c r="E28" s="118"/>
      <c r="F28" s="119"/>
      <c r="G28" s="118"/>
      <c r="H28" s="119"/>
      <c r="I28" s="120" t="s">
        <v>43</v>
      </c>
      <c r="J28" s="116" t="s">
        <v>44</v>
      </c>
      <c r="K28" s="116"/>
      <c r="L28" s="44" t="s">
        <v>45</v>
      </c>
      <c r="M28" s="118"/>
      <c r="N28" s="119"/>
      <c r="O28" s="118"/>
      <c r="P28" s="119"/>
    </row>
    <row r="29" spans="1:16" s="1" customFormat="1" ht="96" customHeight="1" x14ac:dyDescent="0.3">
      <c r="A29" s="130"/>
      <c r="B29" s="115"/>
      <c r="C29" s="115"/>
      <c r="D29" s="115"/>
      <c r="E29" s="118"/>
      <c r="F29" s="119"/>
      <c r="G29" s="118"/>
      <c r="H29" s="119"/>
      <c r="I29" s="120"/>
      <c r="J29" s="47" t="s">
        <v>46</v>
      </c>
      <c r="K29" s="47" t="s">
        <v>47</v>
      </c>
      <c r="L29" s="47" t="s">
        <v>48</v>
      </c>
      <c r="M29" s="118"/>
      <c r="N29" s="119"/>
      <c r="O29" s="118"/>
      <c r="P29" s="119"/>
    </row>
    <row r="30" spans="1:16" s="2" customFormat="1" ht="18.75" x14ac:dyDescent="0.3">
      <c r="A30" s="44"/>
      <c r="B30" s="116" t="s">
        <v>49</v>
      </c>
      <c r="C30" s="116"/>
      <c r="D30" s="116"/>
      <c r="E30" s="44" t="s">
        <v>50</v>
      </c>
      <c r="F30" s="44" t="s">
        <v>51</v>
      </c>
      <c r="G30" s="44" t="s">
        <v>52</v>
      </c>
      <c r="H30" s="44" t="s">
        <v>53</v>
      </c>
      <c r="I30" s="44" t="s">
        <v>54</v>
      </c>
      <c r="J30" s="44" t="s">
        <v>55</v>
      </c>
      <c r="K30" s="44" t="s">
        <v>56</v>
      </c>
      <c r="L30" s="44" t="s">
        <v>57</v>
      </c>
      <c r="M30" s="44" t="s">
        <v>58</v>
      </c>
      <c r="N30" s="44">
        <v>11</v>
      </c>
      <c r="O30" s="44" t="s">
        <v>59</v>
      </c>
      <c r="P30" s="44" t="s">
        <v>60</v>
      </c>
    </row>
    <row r="31" spans="1:16" s="1" customFormat="1" ht="18.75" x14ac:dyDescent="0.3">
      <c r="A31" s="41" t="s">
        <v>49</v>
      </c>
      <c r="B31" s="122" t="s">
        <v>61</v>
      </c>
      <c r="C31" s="123" t="s">
        <v>62</v>
      </c>
      <c r="D31" s="17" t="s">
        <v>63</v>
      </c>
      <c r="E31" s="43">
        <f>4+5+1+6</f>
        <v>16</v>
      </c>
      <c r="F31" s="43">
        <f>20+25+9.15+30</f>
        <v>84.15</v>
      </c>
      <c r="G31" s="46"/>
      <c r="H31" s="46"/>
      <c r="I31" s="46"/>
      <c r="J31" s="46"/>
      <c r="K31" s="46"/>
      <c r="L31" s="46"/>
      <c r="M31" s="43">
        <f>4+5+1+4</f>
        <v>14</v>
      </c>
      <c r="N31" s="43">
        <f>20+25+9.15+20</f>
        <v>74.150000000000006</v>
      </c>
      <c r="O31" s="43">
        <f>6+1+1+5</f>
        <v>13</v>
      </c>
      <c r="P31" s="43">
        <f>40+3.95+9.15+25</f>
        <v>78.099999999999994</v>
      </c>
    </row>
    <row r="32" spans="1:16" s="1" customFormat="1" ht="37.5" x14ac:dyDescent="0.3">
      <c r="A32" s="41" t="s">
        <v>50</v>
      </c>
      <c r="B32" s="122"/>
      <c r="C32" s="123"/>
      <c r="D32" s="18" t="s">
        <v>64</v>
      </c>
      <c r="E32" s="46">
        <f>1+5+14</f>
        <v>20</v>
      </c>
      <c r="F32" s="46">
        <f>5+25+60</f>
        <v>90</v>
      </c>
      <c r="G32" s="46"/>
      <c r="H32" s="46"/>
      <c r="I32" s="46"/>
      <c r="J32" s="46"/>
      <c r="K32" s="46"/>
      <c r="L32" s="46"/>
      <c r="M32" s="46">
        <f>1+5+10</f>
        <v>16</v>
      </c>
      <c r="N32" s="46">
        <f>5+25+44</f>
        <v>74</v>
      </c>
      <c r="O32" s="46">
        <f>4+12</f>
        <v>16</v>
      </c>
      <c r="P32" s="46">
        <f>15.8+54</f>
        <v>69.8</v>
      </c>
    </row>
    <row r="33" spans="1:16" s="1" customFormat="1" ht="18.75" x14ac:dyDescent="0.3">
      <c r="A33" s="41" t="s">
        <v>51</v>
      </c>
      <c r="B33" s="122"/>
      <c r="C33" s="123" t="s">
        <v>65</v>
      </c>
      <c r="D33" s="17" t="s">
        <v>63</v>
      </c>
      <c r="E33" s="46">
        <f>1</f>
        <v>1</v>
      </c>
      <c r="F33" s="46">
        <f>14.69</f>
        <v>14.69</v>
      </c>
      <c r="G33" s="46"/>
      <c r="H33" s="46"/>
      <c r="I33" s="46"/>
      <c r="J33" s="46"/>
      <c r="K33" s="46"/>
      <c r="L33" s="46"/>
      <c r="M33" s="46">
        <f>1</f>
        <v>1</v>
      </c>
      <c r="N33" s="46">
        <f>14.69</f>
        <v>14.69</v>
      </c>
      <c r="O33" s="46"/>
      <c r="P33" s="46"/>
    </row>
    <row r="34" spans="1:16" s="1" customFormat="1" ht="37.5" x14ac:dyDescent="0.3">
      <c r="A34" s="41" t="s">
        <v>52</v>
      </c>
      <c r="B34" s="122"/>
      <c r="C34" s="123"/>
      <c r="D34" s="48" t="s">
        <v>25</v>
      </c>
      <c r="E34" s="46">
        <f>1+1+1</f>
        <v>3</v>
      </c>
      <c r="F34" s="46">
        <f>5+12+5</f>
        <v>22</v>
      </c>
      <c r="G34" s="46"/>
      <c r="H34" s="46"/>
      <c r="I34" s="46"/>
      <c r="J34" s="46"/>
      <c r="K34" s="46"/>
      <c r="L34" s="46"/>
      <c r="M34" s="46">
        <f>1+1</f>
        <v>2</v>
      </c>
      <c r="N34" s="46">
        <f>5+12</f>
        <v>17</v>
      </c>
      <c r="O34" s="46">
        <f>3</f>
        <v>3</v>
      </c>
      <c r="P34" s="46">
        <f>23.31</f>
        <v>23.31</v>
      </c>
    </row>
    <row r="35" spans="1:16" s="1" customFormat="1" ht="37.5" x14ac:dyDescent="0.3">
      <c r="A35" s="41" t="s">
        <v>53</v>
      </c>
      <c r="B35" s="125" t="s">
        <v>66</v>
      </c>
      <c r="C35" s="42" t="s">
        <v>62</v>
      </c>
      <c r="D35" s="48" t="s">
        <v>25</v>
      </c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</row>
    <row r="36" spans="1:16" s="1" customFormat="1" ht="51" customHeight="1" x14ac:dyDescent="0.3">
      <c r="A36" s="41" t="s">
        <v>54</v>
      </c>
      <c r="B36" s="125"/>
      <c r="C36" s="42" t="s">
        <v>65</v>
      </c>
      <c r="D36" s="48" t="s">
        <v>25</v>
      </c>
      <c r="E36" s="46"/>
      <c r="F36" s="46"/>
      <c r="G36" s="46"/>
      <c r="H36" s="46"/>
      <c r="I36" s="46"/>
      <c r="J36" s="46"/>
      <c r="K36" s="46"/>
      <c r="L36" s="46"/>
      <c r="M36" s="46"/>
      <c r="N36" s="46"/>
      <c r="O36" s="46">
        <f>1</f>
        <v>1</v>
      </c>
      <c r="P36" s="46">
        <f>187</f>
        <v>187</v>
      </c>
    </row>
    <row r="37" spans="1:16" s="1" customFormat="1" ht="51.75" customHeight="1" x14ac:dyDescent="0.3">
      <c r="A37" s="41" t="s">
        <v>55</v>
      </c>
      <c r="B37" s="125" t="s">
        <v>67</v>
      </c>
      <c r="C37" s="42" t="s">
        <v>62</v>
      </c>
      <c r="D37" s="48" t="s">
        <v>25</v>
      </c>
      <c r="E37" s="46"/>
      <c r="F37" s="46"/>
      <c r="G37" s="46"/>
      <c r="H37" s="46"/>
      <c r="I37" s="46"/>
      <c r="J37" s="46"/>
      <c r="K37" s="46"/>
      <c r="L37" s="46"/>
      <c r="M37" s="46"/>
      <c r="N37" s="46"/>
      <c r="O37" s="46"/>
      <c r="P37" s="46"/>
    </row>
    <row r="38" spans="1:16" s="1" customFormat="1" ht="37.5" x14ac:dyDescent="0.3">
      <c r="A38" s="41" t="s">
        <v>56</v>
      </c>
      <c r="B38" s="125"/>
      <c r="C38" s="45" t="s">
        <v>26</v>
      </c>
      <c r="D38" s="48" t="s">
        <v>25</v>
      </c>
      <c r="E38" s="46"/>
      <c r="F38" s="46"/>
      <c r="G38" s="46"/>
      <c r="H38" s="46"/>
      <c r="I38" s="46"/>
      <c r="J38" s="46"/>
      <c r="K38" s="46"/>
      <c r="L38" s="46"/>
      <c r="M38" s="46"/>
      <c r="N38" s="46"/>
      <c r="O38" s="46"/>
      <c r="P38" s="46"/>
    </row>
    <row r="39" spans="1:16" s="1" customFormat="1" ht="58.5" customHeight="1" x14ac:dyDescent="0.3">
      <c r="A39" s="41" t="s">
        <v>57</v>
      </c>
      <c r="B39" s="125" t="s">
        <v>68</v>
      </c>
      <c r="C39" s="123" t="s">
        <v>69</v>
      </c>
      <c r="D39" s="123"/>
      <c r="E39" s="46"/>
      <c r="F39" s="46"/>
      <c r="G39" s="46"/>
      <c r="H39" s="46"/>
      <c r="I39" s="46"/>
      <c r="J39" s="46"/>
      <c r="K39" s="46"/>
      <c r="L39" s="46"/>
      <c r="M39" s="46"/>
      <c r="N39" s="46"/>
      <c r="O39" s="46"/>
      <c r="P39" s="46"/>
    </row>
    <row r="40" spans="1:16" s="1" customFormat="1" ht="24" customHeight="1" x14ac:dyDescent="0.3">
      <c r="A40" s="41" t="s">
        <v>58</v>
      </c>
      <c r="B40" s="125"/>
      <c r="C40" s="123" t="s">
        <v>70</v>
      </c>
      <c r="D40" s="123"/>
      <c r="E40" s="46"/>
      <c r="F40" s="46"/>
      <c r="G40" s="46"/>
      <c r="H40" s="46"/>
      <c r="I40" s="46"/>
      <c r="J40" s="46"/>
      <c r="K40" s="46"/>
      <c r="L40" s="46"/>
      <c r="M40" s="46"/>
      <c r="N40" s="46"/>
      <c r="O40" s="46"/>
      <c r="P40" s="46"/>
    </row>
    <row r="41" spans="1:16" s="1" customFormat="1" ht="60" customHeight="1" x14ac:dyDescent="0.3">
      <c r="A41" s="41" t="s">
        <v>71</v>
      </c>
      <c r="B41" s="125"/>
      <c r="C41" s="123" t="s">
        <v>72</v>
      </c>
      <c r="D41" s="123"/>
      <c r="E41" s="46"/>
      <c r="F41" s="46"/>
      <c r="G41" s="46"/>
      <c r="H41" s="46"/>
      <c r="I41" s="46"/>
      <c r="J41" s="46"/>
      <c r="K41" s="46"/>
      <c r="L41" s="46"/>
      <c r="M41" s="46"/>
      <c r="N41" s="46"/>
      <c r="O41" s="46"/>
      <c r="P41" s="46"/>
    </row>
    <row r="42" spans="1:16" s="1" customFormat="1" ht="18.75" x14ac:dyDescent="0.3">
      <c r="A42" s="41" t="s">
        <v>59</v>
      </c>
      <c r="B42" s="125"/>
      <c r="C42" s="124" t="s">
        <v>73</v>
      </c>
      <c r="D42" s="124"/>
      <c r="E42" s="46"/>
      <c r="F42" s="46"/>
      <c r="G42" s="46"/>
      <c r="H42" s="46"/>
      <c r="I42" s="46"/>
      <c r="J42" s="46"/>
      <c r="K42" s="46"/>
      <c r="L42" s="46"/>
      <c r="M42" s="46"/>
      <c r="N42" s="46"/>
      <c r="O42" s="46"/>
      <c r="P42" s="46"/>
    </row>
    <row r="43" spans="1:16" s="1" customFormat="1" ht="63.75" customHeight="1" x14ac:dyDescent="0.3">
      <c r="A43" s="41" t="s">
        <v>60</v>
      </c>
      <c r="B43" s="125"/>
      <c r="C43" s="123" t="s">
        <v>74</v>
      </c>
      <c r="D43" s="123"/>
      <c r="E43" s="46"/>
      <c r="F43" s="46"/>
      <c r="G43" s="46"/>
      <c r="H43" s="46"/>
      <c r="I43" s="46"/>
      <c r="J43" s="46"/>
      <c r="K43" s="46"/>
      <c r="L43" s="46"/>
      <c r="M43" s="46"/>
      <c r="N43" s="46"/>
      <c r="O43" s="46"/>
      <c r="P43" s="46"/>
    </row>
    <row r="44" spans="1:16" s="1" customFormat="1" ht="59.25" customHeight="1" x14ac:dyDescent="0.3">
      <c r="A44" s="41" t="s">
        <v>75</v>
      </c>
      <c r="B44" s="125"/>
      <c r="C44" s="123" t="s">
        <v>76</v>
      </c>
      <c r="D44" s="123"/>
      <c r="E44" s="46"/>
      <c r="F44" s="46"/>
      <c r="G44" s="46"/>
      <c r="H44" s="46"/>
      <c r="I44" s="46"/>
      <c r="J44" s="46"/>
      <c r="K44" s="46"/>
      <c r="L44" s="46"/>
      <c r="M44" s="46"/>
      <c r="N44" s="46"/>
      <c r="O44" s="46"/>
      <c r="P44" s="46"/>
    </row>
    <row r="45" spans="1:16" s="1" customFormat="1" ht="18.75" x14ac:dyDescent="0.3">
      <c r="A45" s="41" t="s">
        <v>77</v>
      </c>
      <c r="B45" s="124" t="s">
        <v>78</v>
      </c>
      <c r="C45" s="124"/>
      <c r="D45" s="124"/>
      <c r="E45" s="43">
        <f>E31+E32+E33+E34+E35+E36+E37+E38+E39+E40+E41+E43+E42+E44</f>
        <v>40</v>
      </c>
      <c r="F45" s="43">
        <f t="shared" ref="F45:P45" si="1">F31+F32+F33+F34+F35+F36+F37+F38+F39+F40+F41+F43+F42+F44</f>
        <v>210.84</v>
      </c>
      <c r="G45" s="43">
        <f t="shared" si="1"/>
        <v>0</v>
      </c>
      <c r="H45" s="43">
        <f t="shared" si="1"/>
        <v>0</v>
      </c>
      <c r="I45" s="43">
        <f t="shared" si="1"/>
        <v>0</v>
      </c>
      <c r="J45" s="43">
        <f t="shared" si="1"/>
        <v>0</v>
      </c>
      <c r="K45" s="43">
        <f t="shared" si="1"/>
        <v>0</v>
      </c>
      <c r="L45" s="43">
        <f t="shared" si="1"/>
        <v>0</v>
      </c>
      <c r="M45" s="43">
        <f t="shared" si="1"/>
        <v>33</v>
      </c>
      <c r="N45" s="43">
        <f t="shared" si="1"/>
        <v>179.84</v>
      </c>
      <c r="O45" s="43">
        <f t="shared" si="1"/>
        <v>33</v>
      </c>
      <c r="P45" s="43">
        <f t="shared" si="1"/>
        <v>358.21</v>
      </c>
    </row>
    <row r="46" spans="1:16" customFormat="1" x14ac:dyDescent="0.2">
      <c r="E46" s="6"/>
      <c r="F46" s="6"/>
      <c r="G46" s="6"/>
      <c r="H46" s="6"/>
      <c r="I46" s="6"/>
      <c r="J46" s="6"/>
      <c r="K46" s="6"/>
      <c r="L46" s="6"/>
      <c r="M46" s="6"/>
    </row>
    <row r="47" spans="1:16" ht="18.75" x14ac:dyDescent="0.2">
      <c r="A47" s="32" t="s">
        <v>86</v>
      </c>
    </row>
  </sheetData>
  <mergeCells count="55">
    <mergeCell ref="B45:D45"/>
    <mergeCell ref="B39:B44"/>
    <mergeCell ref="C39:D39"/>
    <mergeCell ref="C40:D40"/>
    <mergeCell ref="C41:D41"/>
    <mergeCell ref="C42:D42"/>
    <mergeCell ref="C43:D43"/>
    <mergeCell ref="C44:D44"/>
    <mergeCell ref="B37:B38"/>
    <mergeCell ref="I27:L27"/>
    <mergeCell ref="M27:M29"/>
    <mergeCell ref="N27:N29"/>
    <mergeCell ref="O27:O29"/>
    <mergeCell ref="B30:D30"/>
    <mergeCell ref="B31:B34"/>
    <mergeCell ref="C31:C32"/>
    <mergeCell ref="C33:C34"/>
    <mergeCell ref="B35:B36"/>
    <mergeCell ref="P27:P29"/>
    <mergeCell ref="I28:I29"/>
    <mergeCell ref="J28:K28"/>
    <mergeCell ref="A26:A29"/>
    <mergeCell ref="B26:D29"/>
    <mergeCell ref="E26:F26"/>
    <mergeCell ref="G26:L26"/>
    <mergeCell ref="M26:N26"/>
    <mergeCell ref="O26:P26"/>
    <mergeCell ref="E27:E29"/>
    <mergeCell ref="F27:F29"/>
    <mergeCell ref="G27:G29"/>
    <mergeCell ref="H27:H29"/>
    <mergeCell ref="A24:P24"/>
    <mergeCell ref="I4:I5"/>
    <mergeCell ref="J4:J5"/>
    <mergeCell ref="K4:M4"/>
    <mergeCell ref="B6:D6"/>
    <mergeCell ref="B7:D7"/>
    <mergeCell ref="B8:B11"/>
    <mergeCell ref="C8:C9"/>
    <mergeCell ref="C10:C11"/>
    <mergeCell ref="B12:B13"/>
    <mergeCell ref="B14:B15"/>
    <mergeCell ref="B16:D16"/>
    <mergeCell ref="B17:D17"/>
    <mergeCell ref="B18:D18"/>
    <mergeCell ref="A1:M1"/>
    <mergeCell ref="A3:A6"/>
    <mergeCell ref="B3:D5"/>
    <mergeCell ref="E3:F3"/>
    <mergeCell ref="G3:H3"/>
    <mergeCell ref="I3:M3"/>
    <mergeCell ref="E4:E5"/>
    <mergeCell ref="F4:F5"/>
    <mergeCell ref="G4:G5"/>
    <mergeCell ref="H4:H5"/>
  </mergeCells>
  <pageMargins left="0.7" right="0.7" top="0.75" bottom="0.75" header="0.3" footer="0.3"/>
  <pageSetup paperSize="9" scale="32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7"/>
  <sheetViews>
    <sheetView workbookViewId="0">
      <selection sqref="A1:XFD1048576"/>
    </sheetView>
  </sheetViews>
  <sheetFormatPr defaultRowHeight="12.75" x14ac:dyDescent="0.2"/>
  <cols>
    <col min="1" max="1" width="4.5703125" style="4" customWidth="1"/>
    <col min="2" max="2" width="18" style="4" customWidth="1"/>
    <col min="3" max="3" width="18.28515625" style="4" customWidth="1"/>
    <col min="4" max="4" width="28.85546875" style="4" customWidth="1"/>
    <col min="5" max="5" width="15.5703125" style="5" customWidth="1"/>
    <col min="6" max="6" width="11.85546875" style="5" customWidth="1"/>
    <col min="7" max="7" width="16" style="5" customWidth="1"/>
    <col min="8" max="8" width="12.5703125" style="5" customWidth="1"/>
    <col min="9" max="9" width="16" style="5" customWidth="1"/>
    <col min="10" max="10" width="13.7109375" style="5" bestFit="1" customWidth="1"/>
    <col min="11" max="11" width="16.85546875" style="5" customWidth="1"/>
    <col min="12" max="12" width="21.5703125" style="5" customWidth="1"/>
    <col min="13" max="13" width="21.42578125" style="5" customWidth="1"/>
    <col min="14" max="16384" width="9.140625" style="4"/>
  </cols>
  <sheetData>
    <row r="1" spans="1:13" s="1" customFormat="1" ht="39.75" customHeight="1" x14ac:dyDescent="0.3">
      <c r="A1" s="126" t="s">
        <v>91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</row>
    <row r="2" spans="1:13" s="1" customFormat="1" ht="18.75" x14ac:dyDescent="0.3">
      <c r="E2" s="2"/>
      <c r="F2" s="2"/>
      <c r="G2" s="2"/>
      <c r="H2" s="2"/>
      <c r="I2" s="2"/>
      <c r="J2" s="2"/>
      <c r="K2" s="2"/>
      <c r="L2" s="2"/>
      <c r="M2" s="2"/>
    </row>
    <row r="3" spans="1:13" s="3" customFormat="1" ht="75" customHeight="1" x14ac:dyDescent="0.3">
      <c r="A3" s="110" t="s">
        <v>0</v>
      </c>
      <c r="B3" s="110" t="s">
        <v>1</v>
      </c>
      <c r="C3" s="110"/>
      <c r="D3" s="110"/>
      <c r="E3" s="113" t="s">
        <v>2</v>
      </c>
      <c r="F3" s="113"/>
      <c r="G3" s="113" t="s">
        <v>3</v>
      </c>
      <c r="H3" s="113"/>
      <c r="I3" s="113" t="s">
        <v>4</v>
      </c>
      <c r="J3" s="113"/>
      <c r="K3" s="113"/>
      <c r="L3" s="113"/>
      <c r="M3" s="113"/>
    </row>
    <row r="4" spans="1:13" s="3" customFormat="1" ht="18.75" x14ac:dyDescent="0.3">
      <c r="A4" s="110"/>
      <c r="B4" s="110"/>
      <c r="C4" s="110"/>
      <c r="D4" s="110"/>
      <c r="E4" s="113" t="s">
        <v>5</v>
      </c>
      <c r="F4" s="113" t="s">
        <v>6</v>
      </c>
      <c r="G4" s="113" t="s">
        <v>5</v>
      </c>
      <c r="H4" s="113" t="s">
        <v>6</v>
      </c>
      <c r="I4" s="113" t="s">
        <v>5</v>
      </c>
      <c r="J4" s="113" t="s">
        <v>6</v>
      </c>
      <c r="K4" s="114" t="s">
        <v>34</v>
      </c>
      <c r="L4" s="113"/>
      <c r="M4" s="113"/>
    </row>
    <row r="5" spans="1:13" s="3" customFormat="1" ht="57" customHeight="1" x14ac:dyDescent="0.3">
      <c r="A5" s="110"/>
      <c r="B5" s="110"/>
      <c r="C5" s="110"/>
      <c r="D5" s="110"/>
      <c r="E5" s="113"/>
      <c r="F5" s="113"/>
      <c r="G5" s="113"/>
      <c r="H5" s="113"/>
      <c r="I5" s="113"/>
      <c r="J5" s="113"/>
      <c r="K5" s="50" t="s">
        <v>7</v>
      </c>
      <c r="L5" s="50" t="s">
        <v>8</v>
      </c>
      <c r="M5" s="50" t="s">
        <v>9</v>
      </c>
    </row>
    <row r="6" spans="1:13" s="3" customFormat="1" ht="18.75" x14ac:dyDescent="0.3">
      <c r="A6" s="110"/>
      <c r="B6" s="110" t="s">
        <v>10</v>
      </c>
      <c r="C6" s="110"/>
      <c r="D6" s="110"/>
      <c r="E6" s="50" t="s">
        <v>11</v>
      </c>
      <c r="F6" s="50" t="s">
        <v>12</v>
      </c>
      <c r="G6" s="50" t="s">
        <v>13</v>
      </c>
      <c r="H6" s="50" t="s">
        <v>14</v>
      </c>
      <c r="I6" s="50" t="s">
        <v>15</v>
      </c>
      <c r="J6" s="50" t="s">
        <v>16</v>
      </c>
      <c r="K6" s="50" t="s">
        <v>17</v>
      </c>
      <c r="L6" s="50" t="s">
        <v>18</v>
      </c>
      <c r="M6" s="50" t="s">
        <v>19</v>
      </c>
    </row>
    <row r="7" spans="1:13" s="3" customFormat="1" ht="18.75" x14ac:dyDescent="0.3">
      <c r="A7" s="49" t="s">
        <v>20</v>
      </c>
      <c r="B7" s="110" t="s">
        <v>21</v>
      </c>
      <c r="C7" s="110"/>
      <c r="D7" s="110"/>
      <c r="E7" s="50"/>
      <c r="F7" s="50"/>
      <c r="G7" s="50"/>
      <c r="H7" s="50"/>
      <c r="I7" s="50"/>
      <c r="J7" s="50"/>
      <c r="K7" s="50"/>
      <c r="L7" s="50"/>
      <c r="M7" s="50"/>
    </row>
    <row r="8" spans="1:13" s="3" customFormat="1" ht="18.75" x14ac:dyDescent="0.3">
      <c r="A8" s="49" t="s">
        <v>11</v>
      </c>
      <c r="B8" s="110" t="s">
        <v>22</v>
      </c>
      <c r="C8" s="110" t="s">
        <v>23</v>
      </c>
      <c r="D8" s="53" t="s">
        <v>24</v>
      </c>
      <c r="E8" s="54">
        <f>6+3+12+5+4</f>
        <v>30</v>
      </c>
      <c r="F8" s="54">
        <f>30+15+60+25+16.44</f>
        <v>146.44</v>
      </c>
      <c r="G8" s="54">
        <f>5+3+12+2+4</f>
        <v>26</v>
      </c>
      <c r="H8" s="54">
        <f>25+15+60+10+16.44</f>
        <v>126.44</v>
      </c>
      <c r="I8" s="54">
        <f>1</f>
        <v>1</v>
      </c>
      <c r="J8" s="54">
        <f>5</f>
        <v>5</v>
      </c>
      <c r="K8" s="54">
        <f>1</f>
        <v>1</v>
      </c>
      <c r="L8" s="54"/>
      <c r="M8" s="54"/>
    </row>
    <row r="9" spans="1:13" s="3" customFormat="1" ht="37.5" x14ac:dyDescent="0.3">
      <c r="A9" s="49" t="s">
        <v>12</v>
      </c>
      <c r="B9" s="110"/>
      <c r="C9" s="110"/>
      <c r="D9" s="53" t="s">
        <v>25</v>
      </c>
      <c r="E9" s="54">
        <f>1+1+20</f>
        <v>22</v>
      </c>
      <c r="F9" s="54">
        <f>47.6+4.11+88</f>
        <v>139.71</v>
      </c>
      <c r="G9" s="54">
        <f>1+1+17</f>
        <v>19</v>
      </c>
      <c r="H9" s="54">
        <f>47.6+4.11+74.8</f>
        <v>126.50999999999999</v>
      </c>
      <c r="I9" s="54"/>
      <c r="J9" s="54"/>
      <c r="K9" s="54"/>
      <c r="L9" s="54"/>
      <c r="M9" s="54"/>
    </row>
    <row r="10" spans="1:13" s="3" customFormat="1" ht="18.75" x14ac:dyDescent="0.3">
      <c r="A10" s="49" t="s">
        <v>13</v>
      </c>
      <c r="B10" s="110"/>
      <c r="C10" s="110" t="s">
        <v>26</v>
      </c>
      <c r="D10" s="53" t="s">
        <v>24</v>
      </c>
      <c r="E10" s="54">
        <f>2+8</f>
        <v>10</v>
      </c>
      <c r="F10" s="54">
        <f>16+56.521</f>
        <v>72.521000000000001</v>
      </c>
      <c r="G10" s="54">
        <f>2+5</f>
        <v>7</v>
      </c>
      <c r="H10" s="54">
        <f>16+32.38</f>
        <v>48.38</v>
      </c>
      <c r="I10" s="54"/>
      <c r="J10" s="54"/>
      <c r="K10" s="54"/>
      <c r="L10" s="54"/>
      <c r="M10" s="54"/>
    </row>
    <row r="11" spans="1:13" s="3" customFormat="1" ht="37.5" x14ac:dyDescent="0.3">
      <c r="A11" s="49" t="s">
        <v>14</v>
      </c>
      <c r="B11" s="110"/>
      <c r="C11" s="110"/>
      <c r="D11" s="53" t="s">
        <v>25</v>
      </c>
      <c r="E11" s="54"/>
      <c r="F11" s="54"/>
      <c r="G11" s="54"/>
      <c r="H11" s="54"/>
      <c r="I11" s="54"/>
      <c r="J11" s="54"/>
      <c r="K11" s="54"/>
      <c r="L11" s="54"/>
      <c r="M11" s="54"/>
    </row>
    <row r="12" spans="1:13" s="3" customFormat="1" ht="37.5" x14ac:dyDescent="0.3">
      <c r="A12" s="49" t="s">
        <v>15</v>
      </c>
      <c r="B12" s="110" t="s">
        <v>27</v>
      </c>
      <c r="C12" s="49" t="s">
        <v>23</v>
      </c>
      <c r="D12" s="53" t="s">
        <v>25</v>
      </c>
      <c r="E12" s="54"/>
      <c r="F12" s="54"/>
      <c r="G12" s="54"/>
      <c r="H12" s="54"/>
      <c r="I12" s="54"/>
      <c r="J12" s="54"/>
      <c r="K12" s="54"/>
      <c r="L12" s="54"/>
      <c r="M12" s="54"/>
    </row>
    <row r="13" spans="1:13" s="3" customFormat="1" ht="37.5" x14ac:dyDescent="0.3">
      <c r="A13" s="49" t="s">
        <v>16</v>
      </c>
      <c r="B13" s="110"/>
      <c r="C13" s="49" t="s">
        <v>26</v>
      </c>
      <c r="D13" s="53" t="s">
        <v>25</v>
      </c>
      <c r="E13" s="54"/>
      <c r="F13" s="54"/>
      <c r="G13" s="54"/>
      <c r="H13" s="54"/>
      <c r="I13" s="54"/>
      <c r="J13" s="54"/>
      <c r="K13" s="54"/>
      <c r="L13" s="54"/>
      <c r="M13" s="54"/>
    </row>
    <row r="14" spans="1:13" s="3" customFormat="1" ht="37.5" x14ac:dyDescent="0.3">
      <c r="A14" s="49">
        <v>8</v>
      </c>
      <c r="B14" s="110" t="s">
        <v>28</v>
      </c>
      <c r="C14" s="49" t="s">
        <v>23</v>
      </c>
      <c r="D14" s="53" t="s">
        <v>25</v>
      </c>
      <c r="E14" s="54"/>
      <c r="F14" s="54"/>
      <c r="G14" s="54"/>
      <c r="H14" s="54"/>
      <c r="I14" s="54"/>
      <c r="J14" s="54"/>
      <c r="K14" s="54"/>
      <c r="L14" s="54"/>
      <c r="M14" s="54"/>
    </row>
    <row r="15" spans="1:13" s="3" customFormat="1" ht="37.5" x14ac:dyDescent="0.3">
      <c r="A15" s="49" t="s">
        <v>18</v>
      </c>
      <c r="B15" s="110"/>
      <c r="C15" s="49" t="s">
        <v>26</v>
      </c>
      <c r="D15" s="53" t="s">
        <v>25</v>
      </c>
      <c r="E15" s="54"/>
      <c r="F15" s="54"/>
      <c r="G15" s="54"/>
      <c r="H15" s="54"/>
      <c r="I15" s="54"/>
      <c r="J15" s="54"/>
      <c r="K15" s="54"/>
      <c r="L15" s="54"/>
      <c r="M15" s="54"/>
    </row>
    <row r="16" spans="1:13" s="3" customFormat="1" ht="18.75" x14ac:dyDescent="0.3">
      <c r="A16" s="49" t="s">
        <v>19</v>
      </c>
      <c r="B16" s="110" t="s">
        <v>29</v>
      </c>
      <c r="C16" s="110"/>
      <c r="D16" s="110"/>
      <c r="E16" s="54"/>
      <c r="F16" s="54"/>
      <c r="G16" s="54"/>
      <c r="H16" s="54"/>
      <c r="I16" s="54"/>
      <c r="J16" s="54"/>
      <c r="K16" s="54"/>
      <c r="L16" s="54"/>
      <c r="M16" s="54"/>
    </row>
    <row r="17" spans="1:16" s="3" customFormat="1" ht="18.75" x14ac:dyDescent="0.3">
      <c r="A17" s="49" t="s">
        <v>30</v>
      </c>
      <c r="B17" s="110" t="s">
        <v>31</v>
      </c>
      <c r="C17" s="110"/>
      <c r="D17" s="110"/>
      <c r="E17" s="54">
        <f>E8+E9+E10+E11+E12+E13+E14+E15+E16</f>
        <v>62</v>
      </c>
      <c r="F17" s="54">
        <f t="shared" ref="F17:M17" si="0">F8+F9+F10+F11+F12+F13+F14+F15+F16</f>
        <v>358.67099999999999</v>
      </c>
      <c r="G17" s="54">
        <f t="shared" si="0"/>
        <v>52</v>
      </c>
      <c r="H17" s="54">
        <f t="shared" si="0"/>
        <v>301.33</v>
      </c>
      <c r="I17" s="54">
        <f t="shared" si="0"/>
        <v>1</v>
      </c>
      <c r="J17" s="54">
        <f t="shared" si="0"/>
        <v>5</v>
      </c>
      <c r="K17" s="54">
        <f t="shared" si="0"/>
        <v>1</v>
      </c>
      <c r="L17" s="54">
        <f t="shared" si="0"/>
        <v>0</v>
      </c>
      <c r="M17" s="54">
        <f t="shared" si="0"/>
        <v>0</v>
      </c>
    </row>
    <row r="18" spans="1:16" s="3" customFormat="1" ht="18.75" x14ac:dyDescent="0.3">
      <c r="A18" s="49" t="s">
        <v>32</v>
      </c>
      <c r="B18" s="110" t="s">
        <v>33</v>
      </c>
      <c r="C18" s="110"/>
      <c r="D18" s="110"/>
      <c r="E18" s="54"/>
      <c r="F18" s="54"/>
      <c r="G18" s="54"/>
      <c r="H18" s="54"/>
      <c r="I18" s="54"/>
      <c r="J18" s="54"/>
      <c r="K18" s="54"/>
      <c r="L18" s="54"/>
      <c r="M18" s="54"/>
    </row>
    <row r="21" spans="1:16" customFormat="1" x14ac:dyDescent="0.2">
      <c r="E21" s="6"/>
      <c r="F21" s="6"/>
      <c r="G21" s="6"/>
      <c r="H21" s="6"/>
      <c r="I21" s="6"/>
      <c r="J21" s="6"/>
      <c r="K21" s="6"/>
      <c r="L21" s="6"/>
      <c r="M21" s="6"/>
    </row>
    <row r="22" spans="1:16" s="1" customFormat="1" ht="18.75" x14ac:dyDescent="0.3">
      <c r="A22" s="7" t="s">
        <v>35</v>
      </c>
      <c r="E22" s="2"/>
      <c r="F22" s="2"/>
      <c r="G22" s="2"/>
      <c r="H22" s="2"/>
      <c r="I22" s="2"/>
      <c r="J22" s="2"/>
      <c r="K22" s="2"/>
      <c r="L22" s="2"/>
      <c r="M22" s="2"/>
    </row>
    <row r="23" spans="1:16" s="1" customFormat="1" ht="18.75" x14ac:dyDescent="0.3">
      <c r="E23" s="2"/>
      <c r="F23" s="2"/>
      <c r="G23" s="2"/>
      <c r="H23" s="2"/>
      <c r="I23" s="2"/>
      <c r="J23" s="2"/>
      <c r="K23" s="2"/>
      <c r="L23" s="2"/>
      <c r="M23" s="2"/>
    </row>
    <row r="24" spans="1:16" s="1" customFormat="1" ht="36.75" customHeight="1" x14ac:dyDescent="0.3">
      <c r="A24" s="111" t="s">
        <v>92</v>
      </c>
      <c r="B24" s="112"/>
      <c r="C24" s="112"/>
      <c r="D24" s="112"/>
      <c r="E24" s="112"/>
      <c r="F24" s="112"/>
      <c r="G24" s="112"/>
      <c r="H24" s="112"/>
      <c r="I24" s="112"/>
      <c r="J24" s="112"/>
      <c r="K24" s="112"/>
      <c r="L24" s="112"/>
      <c r="M24" s="112"/>
      <c r="N24" s="112"/>
      <c r="O24" s="112"/>
      <c r="P24" s="112"/>
    </row>
    <row r="25" spans="1:16" s="1" customFormat="1" ht="18.75" x14ac:dyDescent="0.3">
      <c r="E25" s="2"/>
      <c r="F25" s="2"/>
      <c r="G25" s="2"/>
      <c r="H25" s="2"/>
      <c r="I25" s="2"/>
      <c r="J25" s="2"/>
      <c r="K25" s="2"/>
      <c r="L25" s="2"/>
      <c r="M25" s="2"/>
    </row>
    <row r="26" spans="1:16" s="1" customFormat="1" ht="56.25" customHeight="1" x14ac:dyDescent="0.3">
      <c r="A26" s="128" t="s">
        <v>0</v>
      </c>
      <c r="B26" s="115" t="s">
        <v>36</v>
      </c>
      <c r="C26" s="115"/>
      <c r="D26" s="115"/>
      <c r="E26" s="113" t="s">
        <v>37</v>
      </c>
      <c r="F26" s="113"/>
      <c r="G26" s="116" t="s">
        <v>79</v>
      </c>
      <c r="H26" s="116"/>
      <c r="I26" s="116"/>
      <c r="J26" s="116"/>
      <c r="K26" s="116"/>
      <c r="L26" s="116"/>
      <c r="M26" s="117" t="s">
        <v>38</v>
      </c>
      <c r="N26" s="117"/>
      <c r="O26" s="117" t="s">
        <v>39</v>
      </c>
      <c r="P26" s="117"/>
    </row>
    <row r="27" spans="1:16" s="1" customFormat="1" ht="20.25" customHeight="1" x14ac:dyDescent="0.3">
      <c r="A27" s="129"/>
      <c r="B27" s="115"/>
      <c r="C27" s="115"/>
      <c r="D27" s="115"/>
      <c r="E27" s="118" t="s">
        <v>40</v>
      </c>
      <c r="F27" s="119" t="s">
        <v>41</v>
      </c>
      <c r="G27" s="118" t="s">
        <v>40</v>
      </c>
      <c r="H27" s="119" t="s">
        <v>41</v>
      </c>
      <c r="I27" s="116" t="s">
        <v>42</v>
      </c>
      <c r="J27" s="116"/>
      <c r="K27" s="116"/>
      <c r="L27" s="116"/>
      <c r="M27" s="118" t="s">
        <v>40</v>
      </c>
      <c r="N27" s="119" t="s">
        <v>41</v>
      </c>
      <c r="O27" s="118" t="s">
        <v>40</v>
      </c>
      <c r="P27" s="119" t="s">
        <v>41</v>
      </c>
    </row>
    <row r="28" spans="1:16" s="1" customFormat="1" ht="18.75" x14ac:dyDescent="0.3">
      <c r="A28" s="129"/>
      <c r="B28" s="115"/>
      <c r="C28" s="115"/>
      <c r="D28" s="115"/>
      <c r="E28" s="118"/>
      <c r="F28" s="119"/>
      <c r="G28" s="118"/>
      <c r="H28" s="119"/>
      <c r="I28" s="120" t="s">
        <v>43</v>
      </c>
      <c r="J28" s="116" t="s">
        <v>44</v>
      </c>
      <c r="K28" s="116"/>
      <c r="L28" s="52" t="s">
        <v>45</v>
      </c>
      <c r="M28" s="118"/>
      <c r="N28" s="119"/>
      <c r="O28" s="118"/>
      <c r="P28" s="119"/>
    </row>
    <row r="29" spans="1:16" s="1" customFormat="1" ht="96" customHeight="1" x14ac:dyDescent="0.3">
      <c r="A29" s="130"/>
      <c r="B29" s="115"/>
      <c r="C29" s="115"/>
      <c r="D29" s="115"/>
      <c r="E29" s="118"/>
      <c r="F29" s="119"/>
      <c r="G29" s="118"/>
      <c r="H29" s="119"/>
      <c r="I29" s="120"/>
      <c r="J29" s="50" t="s">
        <v>46</v>
      </c>
      <c r="K29" s="50" t="s">
        <v>47</v>
      </c>
      <c r="L29" s="50" t="s">
        <v>48</v>
      </c>
      <c r="M29" s="118"/>
      <c r="N29" s="119"/>
      <c r="O29" s="118"/>
      <c r="P29" s="119"/>
    </row>
    <row r="30" spans="1:16" s="2" customFormat="1" ht="18.75" x14ac:dyDescent="0.3">
      <c r="A30" s="52"/>
      <c r="B30" s="116" t="s">
        <v>49</v>
      </c>
      <c r="C30" s="116"/>
      <c r="D30" s="116"/>
      <c r="E30" s="52" t="s">
        <v>50</v>
      </c>
      <c r="F30" s="52" t="s">
        <v>51</v>
      </c>
      <c r="G30" s="52" t="s">
        <v>52</v>
      </c>
      <c r="H30" s="52" t="s">
        <v>53</v>
      </c>
      <c r="I30" s="52" t="s">
        <v>54</v>
      </c>
      <c r="J30" s="52" t="s">
        <v>55</v>
      </c>
      <c r="K30" s="52" t="s">
        <v>56</v>
      </c>
      <c r="L30" s="52" t="s">
        <v>57</v>
      </c>
      <c r="M30" s="52" t="s">
        <v>58</v>
      </c>
      <c r="N30" s="52">
        <v>11</v>
      </c>
      <c r="O30" s="52" t="s">
        <v>59</v>
      </c>
      <c r="P30" s="52" t="s">
        <v>60</v>
      </c>
    </row>
    <row r="31" spans="1:16" s="1" customFormat="1" ht="18.75" x14ac:dyDescent="0.3">
      <c r="A31" s="56" t="s">
        <v>49</v>
      </c>
      <c r="B31" s="122" t="s">
        <v>61</v>
      </c>
      <c r="C31" s="123" t="s">
        <v>62</v>
      </c>
      <c r="D31" s="17" t="s">
        <v>63</v>
      </c>
      <c r="E31" s="54">
        <f>5+4+5+2</f>
        <v>16</v>
      </c>
      <c r="F31" s="54">
        <f>25+22.76+22.76+8.22</f>
        <v>78.740000000000009</v>
      </c>
      <c r="G31" s="51"/>
      <c r="H31" s="51"/>
      <c r="I31" s="51"/>
      <c r="J31" s="51"/>
      <c r="K31" s="51"/>
      <c r="L31" s="51"/>
      <c r="M31" s="54">
        <f>5+4+5+2</f>
        <v>16</v>
      </c>
      <c r="N31" s="54">
        <f>25+22.76+22.76+8.22</f>
        <v>78.740000000000009</v>
      </c>
      <c r="O31" s="54">
        <f>3+4+6+2</f>
        <v>15</v>
      </c>
      <c r="P31" s="54">
        <f>15+22.76+27.08+8.22</f>
        <v>73.06</v>
      </c>
    </row>
    <row r="32" spans="1:16" s="1" customFormat="1" ht="37.5" x14ac:dyDescent="0.3">
      <c r="A32" s="56" t="s">
        <v>50</v>
      </c>
      <c r="B32" s="122"/>
      <c r="C32" s="123"/>
      <c r="D32" s="18" t="s">
        <v>64</v>
      </c>
      <c r="E32" s="51">
        <f>3+4+20</f>
        <v>27</v>
      </c>
      <c r="F32" s="51">
        <f>15+16.44+88</f>
        <v>119.44</v>
      </c>
      <c r="G32" s="51"/>
      <c r="H32" s="51"/>
      <c r="I32" s="51"/>
      <c r="J32" s="51"/>
      <c r="K32" s="51"/>
      <c r="L32" s="51"/>
      <c r="M32" s="51">
        <f>3+4+6</f>
        <v>13</v>
      </c>
      <c r="N32" s="51">
        <f>15+16.44+26.4</f>
        <v>57.84</v>
      </c>
      <c r="O32" s="51">
        <f>9+13</f>
        <v>22</v>
      </c>
      <c r="P32" s="51">
        <f>36.99+57.2</f>
        <v>94.19</v>
      </c>
    </row>
    <row r="33" spans="1:16" s="1" customFormat="1" ht="18.75" x14ac:dyDescent="0.3">
      <c r="A33" s="56" t="s">
        <v>51</v>
      </c>
      <c r="B33" s="122"/>
      <c r="C33" s="123" t="s">
        <v>65</v>
      </c>
      <c r="D33" s="17" t="s">
        <v>63</v>
      </c>
      <c r="E33" s="51">
        <f>2</f>
        <v>2</v>
      </c>
      <c r="F33" s="51">
        <f>16</f>
        <v>16</v>
      </c>
      <c r="G33" s="51"/>
      <c r="H33" s="51"/>
      <c r="I33" s="51"/>
      <c r="J33" s="51"/>
      <c r="K33" s="51"/>
      <c r="L33" s="51"/>
      <c r="M33" s="51">
        <f>2</f>
        <v>2</v>
      </c>
      <c r="N33" s="51">
        <f>16</f>
        <v>16</v>
      </c>
      <c r="O33" s="51">
        <f>2</f>
        <v>2</v>
      </c>
      <c r="P33" s="51">
        <f>16</f>
        <v>16</v>
      </c>
    </row>
    <row r="34" spans="1:16" s="1" customFormat="1" ht="37.5" x14ac:dyDescent="0.3">
      <c r="A34" s="56" t="s">
        <v>52</v>
      </c>
      <c r="B34" s="122"/>
      <c r="C34" s="123"/>
      <c r="D34" s="53" t="s">
        <v>25</v>
      </c>
      <c r="E34" s="51">
        <f>3</f>
        <v>3</v>
      </c>
      <c r="F34" s="51">
        <f>22.38</f>
        <v>22.38</v>
      </c>
      <c r="G34" s="51"/>
      <c r="H34" s="51"/>
      <c r="I34" s="51"/>
      <c r="J34" s="51"/>
      <c r="K34" s="51"/>
      <c r="L34" s="51"/>
      <c r="M34" s="51">
        <f>3</f>
        <v>3</v>
      </c>
      <c r="N34" s="51">
        <f>22.38</f>
        <v>22.38</v>
      </c>
      <c r="O34" s="51">
        <v>3</v>
      </c>
      <c r="P34" s="51">
        <v>14.96</v>
      </c>
    </row>
    <row r="35" spans="1:16" s="1" customFormat="1" ht="37.5" x14ac:dyDescent="0.3">
      <c r="A35" s="56" t="s">
        <v>53</v>
      </c>
      <c r="B35" s="125" t="s">
        <v>66</v>
      </c>
      <c r="C35" s="55" t="s">
        <v>62</v>
      </c>
      <c r="D35" s="53" t="s">
        <v>25</v>
      </c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1"/>
    </row>
    <row r="36" spans="1:16" s="1" customFormat="1" ht="51" customHeight="1" x14ac:dyDescent="0.3">
      <c r="A36" s="56" t="s">
        <v>54</v>
      </c>
      <c r="B36" s="125"/>
      <c r="C36" s="55" t="s">
        <v>65</v>
      </c>
      <c r="D36" s="53" t="s">
        <v>25</v>
      </c>
      <c r="E36" s="51"/>
      <c r="F36" s="51"/>
      <c r="G36" s="51"/>
      <c r="H36" s="51"/>
      <c r="I36" s="51"/>
      <c r="J36" s="51"/>
      <c r="K36" s="51"/>
      <c r="L36" s="51"/>
      <c r="M36" s="51"/>
      <c r="N36" s="51"/>
      <c r="O36" s="51">
        <f>1</f>
        <v>1</v>
      </c>
      <c r="P36" s="51">
        <f>187</f>
        <v>187</v>
      </c>
    </row>
    <row r="37" spans="1:16" s="1" customFormat="1" ht="51.75" customHeight="1" x14ac:dyDescent="0.3">
      <c r="A37" s="56" t="s">
        <v>55</v>
      </c>
      <c r="B37" s="125" t="s">
        <v>67</v>
      </c>
      <c r="C37" s="55" t="s">
        <v>62</v>
      </c>
      <c r="D37" s="53" t="s">
        <v>25</v>
      </c>
      <c r="E37" s="51"/>
      <c r="F37" s="51"/>
      <c r="G37" s="51"/>
      <c r="H37" s="51"/>
      <c r="I37" s="51"/>
      <c r="J37" s="51"/>
      <c r="K37" s="51"/>
      <c r="L37" s="51"/>
      <c r="M37" s="51"/>
      <c r="N37" s="51"/>
      <c r="O37" s="51"/>
      <c r="P37" s="51"/>
    </row>
    <row r="38" spans="1:16" s="1" customFormat="1" ht="37.5" x14ac:dyDescent="0.3">
      <c r="A38" s="56" t="s">
        <v>56</v>
      </c>
      <c r="B38" s="125"/>
      <c r="C38" s="49" t="s">
        <v>26</v>
      </c>
      <c r="D38" s="53" t="s">
        <v>25</v>
      </c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51"/>
      <c r="P38" s="51"/>
    </row>
    <row r="39" spans="1:16" s="1" customFormat="1" ht="58.5" customHeight="1" x14ac:dyDescent="0.3">
      <c r="A39" s="56" t="s">
        <v>57</v>
      </c>
      <c r="B39" s="125" t="s">
        <v>68</v>
      </c>
      <c r="C39" s="123" t="s">
        <v>69</v>
      </c>
      <c r="D39" s="123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51"/>
      <c r="P39" s="51"/>
    </row>
    <row r="40" spans="1:16" s="1" customFormat="1" ht="24" customHeight="1" x14ac:dyDescent="0.3">
      <c r="A40" s="56" t="s">
        <v>58</v>
      </c>
      <c r="B40" s="125"/>
      <c r="C40" s="123" t="s">
        <v>70</v>
      </c>
      <c r="D40" s="123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51"/>
      <c r="P40" s="51"/>
    </row>
    <row r="41" spans="1:16" s="1" customFormat="1" ht="60" customHeight="1" x14ac:dyDescent="0.3">
      <c r="A41" s="56" t="s">
        <v>71</v>
      </c>
      <c r="B41" s="125"/>
      <c r="C41" s="123" t="s">
        <v>72</v>
      </c>
      <c r="D41" s="123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51"/>
      <c r="P41" s="51"/>
    </row>
    <row r="42" spans="1:16" s="1" customFormat="1" ht="18.75" x14ac:dyDescent="0.3">
      <c r="A42" s="56" t="s">
        <v>59</v>
      </c>
      <c r="B42" s="125"/>
      <c r="C42" s="124" t="s">
        <v>73</v>
      </c>
      <c r="D42" s="124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51"/>
      <c r="P42" s="51"/>
    </row>
    <row r="43" spans="1:16" s="1" customFormat="1" ht="63.75" customHeight="1" x14ac:dyDescent="0.3">
      <c r="A43" s="56" t="s">
        <v>60</v>
      </c>
      <c r="B43" s="125"/>
      <c r="C43" s="123" t="s">
        <v>74</v>
      </c>
      <c r="D43" s="123"/>
      <c r="E43" s="51"/>
      <c r="F43" s="51"/>
      <c r="G43" s="51"/>
      <c r="H43" s="51"/>
      <c r="I43" s="51"/>
      <c r="J43" s="51"/>
      <c r="K43" s="51"/>
      <c r="L43" s="51"/>
      <c r="M43" s="51"/>
      <c r="N43" s="51"/>
      <c r="O43" s="51"/>
      <c r="P43" s="51"/>
    </row>
    <row r="44" spans="1:16" s="1" customFormat="1" ht="59.25" customHeight="1" x14ac:dyDescent="0.3">
      <c r="A44" s="56" t="s">
        <v>75</v>
      </c>
      <c r="B44" s="125"/>
      <c r="C44" s="123" t="s">
        <v>76</v>
      </c>
      <c r="D44" s="123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51"/>
      <c r="P44" s="51"/>
    </row>
    <row r="45" spans="1:16" s="1" customFormat="1" ht="18.75" x14ac:dyDescent="0.3">
      <c r="A45" s="56" t="s">
        <v>77</v>
      </c>
      <c r="B45" s="124" t="s">
        <v>78</v>
      </c>
      <c r="C45" s="124"/>
      <c r="D45" s="124"/>
      <c r="E45" s="54">
        <f>E31+E32+E33+E34+E35+E36+E37+E38+E39+E40+E41+E43+E42+E44</f>
        <v>48</v>
      </c>
      <c r="F45" s="54">
        <f t="shared" ref="F45:P45" si="1">F31+F32+F33+F34+F35+F36+F37+F38+F39+F40+F41+F43+F42+F44</f>
        <v>236.56</v>
      </c>
      <c r="G45" s="54">
        <f t="shared" si="1"/>
        <v>0</v>
      </c>
      <c r="H45" s="54">
        <f t="shared" si="1"/>
        <v>0</v>
      </c>
      <c r="I45" s="54">
        <f t="shared" si="1"/>
        <v>0</v>
      </c>
      <c r="J45" s="54">
        <f t="shared" si="1"/>
        <v>0</v>
      </c>
      <c r="K45" s="54">
        <f t="shared" si="1"/>
        <v>0</v>
      </c>
      <c r="L45" s="54">
        <f t="shared" si="1"/>
        <v>0</v>
      </c>
      <c r="M45" s="54">
        <f t="shared" si="1"/>
        <v>34</v>
      </c>
      <c r="N45" s="54">
        <f t="shared" si="1"/>
        <v>174.96</v>
      </c>
      <c r="O45" s="54">
        <f t="shared" si="1"/>
        <v>43</v>
      </c>
      <c r="P45" s="54">
        <f t="shared" si="1"/>
        <v>385.21000000000004</v>
      </c>
    </row>
    <row r="46" spans="1:16" customFormat="1" x14ac:dyDescent="0.2">
      <c r="E46" s="6"/>
      <c r="F46" s="6"/>
      <c r="G46" s="6"/>
      <c r="H46" s="6"/>
      <c r="I46" s="6"/>
      <c r="J46" s="6"/>
      <c r="K46" s="6"/>
      <c r="L46" s="6"/>
      <c r="M46" s="6"/>
    </row>
    <row r="47" spans="1:16" ht="18.75" x14ac:dyDescent="0.2">
      <c r="A47" s="32" t="s">
        <v>86</v>
      </c>
    </row>
  </sheetData>
  <mergeCells count="55">
    <mergeCell ref="A1:M1"/>
    <mergeCell ref="A3:A6"/>
    <mergeCell ref="B3:D5"/>
    <mergeCell ref="E3:F3"/>
    <mergeCell ref="G3:H3"/>
    <mergeCell ref="I3:M3"/>
    <mergeCell ref="E4:E5"/>
    <mergeCell ref="F4:F5"/>
    <mergeCell ref="G4:G5"/>
    <mergeCell ref="H4:H5"/>
    <mergeCell ref="A24:P24"/>
    <mergeCell ref="I4:I5"/>
    <mergeCell ref="J4:J5"/>
    <mergeCell ref="K4:M4"/>
    <mergeCell ref="B6:D6"/>
    <mergeCell ref="B7:D7"/>
    <mergeCell ref="B8:B11"/>
    <mergeCell ref="C8:C9"/>
    <mergeCell ref="C10:C11"/>
    <mergeCell ref="B12:B13"/>
    <mergeCell ref="B14:B15"/>
    <mergeCell ref="B16:D16"/>
    <mergeCell ref="B17:D17"/>
    <mergeCell ref="B18:D18"/>
    <mergeCell ref="P27:P29"/>
    <mergeCell ref="I28:I29"/>
    <mergeCell ref="J28:K28"/>
    <mergeCell ref="A26:A29"/>
    <mergeCell ref="B26:D29"/>
    <mergeCell ref="E26:F26"/>
    <mergeCell ref="G26:L26"/>
    <mergeCell ref="M26:N26"/>
    <mergeCell ref="O26:P26"/>
    <mergeCell ref="E27:E29"/>
    <mergeCell ref="F27:F29"/>
    <mergeCell ref="G27:G29"/>
    <mergeCell ref="H27:H29"/>
    <mergeCell ref="B37:B38"/>
    <mergeCell ref="I27:L27"/>
    <mergeCell ref="M27:M29"/>
    <mergeCell ref="N27:N29"/>
    <mergeCell ref="O27:O29"/>
    <mergeCell ref="B30:D30"/>
    <mergeCell ref="B31:B34"/>
    <mergeCell ref="C31:C32"/>
    <mergeCell ref="C33:C34"/>
    <mergeCell ref="B35:B36"/>
    <mergeCell ref="B45:D45"/>
    <mergeCell ref="B39:B44"/>
    <mergeCell ref="C39:D39"/>
    <mergeCell ref="C40:D40"/>
    <mergeCell ref="C41:D41"/>
    <mergeCell ref="C42:D42"/>
    <mergeCell ref="C43:D43"/>
    <mergeCell ref="C44:D44"/>
  </mergeCells>
  <pageMargins left="0.7" right="0.7" top="0.75" bottom="0.75" header="0.3" footer="0.3"/>
  <pageSetup paperSize="9" scale="32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7"/>
  <sheetViews>
    <sheetView topLeftCell="A15" zoomScale="85" zoomScaleNormal="85" workbookViewId="0">
      <selection activeCell="S37" sqref="S37"/>
    </sheetView>
  </sheetViews>
  <sheetFormatPr defaultRowHeight="12.75" x14ac:dyDescent="0.2"/>
  <cols>
    <col min="1" max="1" width="4.5703125" style="4" customWidth="1"/>
    <col min="2" max="2" width="18" style="4" customWidth="1"/>
    <col min="3" max="3" width="18.28515625" style="4" customWidth="1"/>
    <col min="4" max="4" width="34.5703125" style="4" customWidth="1"/>
    <col min="5" max="5" width="15.5703125" style="5" customWidth="1"/>
    <col min="6" max="6" width="11.85546875" style="5" customWidth="1"/>
    <col min="7" max="7" width="16" style="5" customWidth="1"/>
    <col min="8" max="8" width="12.5703125" style="5" customWidth="1"/>
    <col min="9" max="9" width="16" style="5" customWidth="1"/>
    <col min="10" max="10" width="13.7109375" style="5" bestFit="1" customWidth="1"/>
    <col min="11" max="11" width="16.85546875" style="5" customWidth="1"/>
    <col min="12" max="12" width="21.5703125" style="5" customWidth="1"/>
    <col min="13" max="13" width="21.42578125" style="5" customWidth="1"/>
    <col min="14" max="16384" width="9.140625" style="4"/>
  </cols>
  <sheetData>
    <row r="1" spans="1:13" s="1" customFormat="1" ht="39.75" customHeight="1" x14ac:dyDescent="0.3">
      <c r="A1" s="126" t="s">
        <v>93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</row>
    <row r="2" spans="1:13" s="1" customFormat="1" ht="18.75" x14ac:dyDescent="0.3">
      <c r="E2" s="2"/>
      <c r="F2" s="2"/>
      <c r="G2" s="2"/>
      <c r="H2" s="2"/>
      <c r="I2" s="2"/>
      <c r="J2" s="2"/>
      <c r="K2" s="2"/>
      <c r="L2" s="2"/>
      <c r="M2" s="2"/>
    </row>
    <row r="3" spans="1:13" s="3" customFormat="1" ht="75" customHeight="1" x14ac:dyDescent="0.3">
      <c r="A3" s="110" t="s">
        <v>0</v>
      </c>
      <c r="B3" s="110" t="s">
        <v>1</v>
      </c>
      <c r="C3" s="110"/>
      <c r="D3" s="110"/>
      <c r="E3" s="113" t="s">
        <v>2</v>
      </c>
      <c r="F3" s="113"/>
      <c r="G3" s="113" t="s">
        <v>3</v>
      </c>
      <c r="H3" s="113"/>
      <c r="I3" s="113" t="s">
        <v>4</v>
      </c>
      <c r="J3" s="113"/>
      <c r="K3" s="113"/>
      <c r="L3" s="113"/>
      <c r="M3" s="113"/>
    </row>
    <row r="4" spans="1:13" s="3" customFormat="1" ht="18.75" x14ac:dyDescent="0.3">
      <c r="A4" s="110"/>
      <c r="B4" s="110"/>
      <c r="C4" s="110"/>
      <c r="D4" s="110"/>
      <c r="E4" s="113" t="s">
        <v>5</v>
      </c>
      <c r="F4" s="113" t="s">
        <v>6</v>
      </c>
      <c r="G4" s="113" t="s">
        <v>5</v>
      </c>
      <c r="H4" s="113" t="s">
        <v>6</v>
      </c>
      <c r="I4" s="113" t="s">
        <v>5</v>
      </c>
      <c r="J4" s="113" t="s">
        <v>6</v>
      </c>
      <c r="K4" s="114" t="s">
        <v>34</v>
      </c>
      <c r="L4" s="113"/>
      <c r="M4" s="113"/>
    </row>
    <row r="5" spans="1:13" s="3" customFormat="1" ht="57" customHeight="1" x14ac:dyDescent="0.3">
      <c r="A5" s="110"/>
      <c r="B5" s="110"/>
      <c r="C5" s="110"/>
      <c r="D5" s="110"/>
      <c r="E5" s="113"/>
      <c r="F5" s="113"/>
      <c r="G5" s="113"/>
      <c r="H5" s="113"/>
      <c r="I5" s="113"/>
      <c r="J5" s="113"/>
      <c r="K5" s="63" t="s">
        <v>7</v>
      </c>
      <c r="L5" s="63" t="s">
        <v>8</v>
      </c>
      <c r="M5" s="63" t="s">
        <v>9</v>
      </c>
    </row>
    <row r="6" spans="1:13" s="3" customFormat="1" ht="18.75" x14ac:dyDescent="0.3">
      <c r="A6" s="110"/>
      <c r="B6" s="110" t="s">
        <v>10</v>
      </c>
      <c r="C6" s="110"/>
      <c r="D6" s="110"/>
      <c r="E6" s="63" t="s">
        <v>11</v>
      </c>
      <c r="F6" s="63" t="s">
        <v>12</v>
      </c>
      <c r="G6" s="63" t="s">
        <v>13</v>
      </c>
      <c r="H6" s="63" t="s">
        <v>14</v>
      </c>
      <c r="I6" s="63" t="s">
        <v>15</v>
      </c>
      <c r="J6" s="63" t="s">
        <v>16</v>
      </c>
      <c r="K6" s="63" t="s">
        <v>17</v>
      </c>
      <c r="L6" s="63" t="s">
        <v>18</v>
      </c>
      <c r="M6" s="63" t="s">
        <v>19</v>
      </c>
    </row>
    <row r="7" spans="1:13" s="3" customFormat="1" ht="18.75" x14ac:dyDescent="0.3">
      <c r="A7" s="61" t="s">
        <v>20</v>
      </c>
      <c r="B7" s="110" t="s">
        <v>21</v>
      </c>
      <c r="C7" s="110"/>
      <c r="D7" s="110"/>
      <c r="E7" s="63"/>
      <c r="F7" s="63"/>
      <c r="G7" s="63"/>
      <c r="H7" s="63"/>
      <c r="I7" s="63"/>
      <c r="J7" s="63"/>
      <c r="K7" s="63"/>
      <c r="L7" s="63"/>
      <c r="M7" s="63"/>
    </row>
    <row r="8" spans="1:13" s="3" customFormat="1" ht="18.75" x14ac:dyDescent="0.3">
      <c r="A8" s="61" t="s">
        <v>11</v>
      </c>
      <c r="B8" s="110" t="s">
        <v>22</v>
      </c>
      <c r="C8" s="110" t="s">
        <v>23</v>
      </c>
      <c r="D8" s="64" t="s">
        <v>24</v>
      </c>
      <c r="E8" s="59">
        <f>10+5+7+1+3</f>
        <v>26</v>
      </c>
      <c r="F8" s="59">
        <f>55.5+25+35+5+15</f>
        <v>135.5</v>
      </c>
      <c r="G8" s="59">
        <f>10+7+2+1+3</f>
        <v>23</v>
      </c>
      <c r="H8" s="59">
        <f>55.5+38+10+5+15</f>
        <v>123.5</v>
      </c>
      <c r="I8" s="59"/>
      <c r="J8" s="59"/>
      <c r="K8" s="59"/>
      <c r="L8" s="59"/>
      <c r="M8" s="59"/>
    </row>
    <row r="9" spans="1:13" s="3" customFormat="1" ht="37.5" x14ac:dyDescent="0.3">
      <c r="A9" s="61" t="s">
        <v>12</v>
      </c>
      <c r="B9" s="110"/>
      <c r="C9" s="110"/>
      <c r="D9" s="64" t="s">
        <v>25</v>
      </c>
      <c r="E9" s="59">
        <f>15+7+2</f>
        <v>24</v>
      </c>
      <c r="F9" s="59">
        <f>60+46.4+10</f>
        <v>116.4</v>
      </c>
      <c r="G9" s="59">
        <f>11+7+2</f>
        <v>20</v>
      </c>
      <c r="H9" s="59">
        <f>48.4+46.4+10</f>
        <v>104.8</v>
      </c>
      <c r="I9" s="59"/>
      <c r="J9" s="59"/>
      <c r="K9" s="59"/>
      <c r="L9" s="59"/>
      <c r="M9" s="59"/>
    </row>
    <row r="10" spans="1:13" s="3" customFormat="1" ht="18.75" x14ac:dyDescent="0.3">
      <c r="A10" s="61" t="s">
        <v>13</v>
      </c>
      <c r="B10" s="110"/>
      <c r="C10" s="110" t="s">
        <v>26</v>
      </c>
      <c r="D10" s="64" t="s">
        <v>24</v>
      </c>
      <c r="E10" s="59">
        <f>4+6</f>
        <v>10</v>
      </c>
      <c r="F10" s="59">
        <f>44+50.19</f>
        <v>94.19</v>
      </c>
      <c r="G10" s="59">
        <f>4+3</f>
        <v>7</v>
      </c>
      <c r="H10" s="59">
        <f>44+35.35</f>
        <v>79.349999999999994</v>
      </c>
      <c r="I10" s="59"/>
      <c r="J10" s="59"/>
      <c r="K10" s="59"/>
      <c r="L10" s="59"/>
      <c r="M10" s="59"/>
    </row>
    <row r="11" spans="1:13" s="3" customFormat="1" ht="37.5" x14ac:dyDescent="0.3">
      <c r="A11" s="61" t="s">
        <v>14</v>
      </c>
      <c r="B11" s="110"/>
      <c r="C11" s="110"/>
      <c r="D11" s="64" t="s">
        <v>25</v>
      </c>
      <c r="E11" s="59"/>
      <c r="F11" s="59"/>
      <c r="G11" s="59"/>
      <c r="H11" s="59"/>
      <c r="I11" s="59"/>
      <c r="J11" s="59"/>
      <c r="K11" s="59"/>
      <c r="L11" s="59"/>
      <c r="M11" s="59"/>
    </row>
    <row r="12" spans="1:13" s="3" customFormat="1" ht="37.5" x14ac:dyDescent="0.3">
      <c r="A12" s="61" t="s">
        <v>15</v>
      </c>
      <c r="B12" s="110" t="s">
        <v>27</v>
      </c>
      <c r="C12" s="61" t="s">
        <v>23</v>
      </c>
      <c r="D12" s="64" t="s">
        <v>25</v>
      </c>
      <c r="E12" s="59">
        <f>1</f>
        <v>1</v>
      </c>
      <c r="F12" s="59">
        <f>10</f>
        <v>10</v>
      </c>
      <c r="G12" s="59"/>
      <c r="H12" s="59"/>
      <c r="I12" s="59"/>
      <c r="J12" s="59"/>
      <c r="K12" s="59"/>
      <c r="L12" s="59"/>
      <c r="M12" s="59"/>
    </row>
    <row r="13" spans="1:13" s="3" customFormat="1" ht="37.5" x14ac:dyDescent="0.3">
      <c r="A13" s="61" t="s">
        <v>16</v>
      </c>
      <c r="B13" s="110"/>
      <c r="C13" s="61" t="s">
        <v>26</v>
      </c>
      <c r="D13" s="64" t="s">
        <v>25</v>
      </c>
      <c r="E13" s="59">
        <f>3</f>
        <v>3</v>
      </c>
      <c r="F13" s="59">
        <f>541.45</f>
        <v>541.45000000000005</v>
      </c>
      <c r="G13" s="59"/>
      <c r="H13" s="59"/>
      <c r="I13" s="59"/>
      <c r="J13" s="59"/>
      <c r="K13" s="59"/>
      <c r="L13" s="59"/>
      <c r="M13" s="59"/>
    </row>
    <row r="14" spans="1:13" s="3" customFormat="1" ht="37.5" x14ac:dyDescent="0.3">
      <c r="A14" s="61">
        <v>8</v>
      </c>
      <c r="B14" s="110" t="s">
        <v>28</v>
      </c>
      <c r="C14" s="61" t="s">
        <v>23</v>
      </c>
      <c r="D14" s="64" t="s">
        <v>25</v>
      </c>
      <c r="E14" s="59"/>
      <c r="F14" s="59"/>
      <c r="G14" s="59"/>
      <c r="H14" s="59"/>
      <c r="I14" s="59"/>
      <c r="J14" s="59"/>
      <c r="K14" s="59"/>
      <c r="L14" s="59"/>
      <c r="M14" s="59"/>
    </row>
    <row r="15" spans="1:13" s="3" customFormat="1" ht="37.5" x14ac:dyDescent="0.3">
      <c r="A15" s="61" t="s">
        <v>18</v>
      </c>
      <c r="B15" s="110"/>
      <c r="C15" s="61" t="s">
        <v>26</v>
      </c>
      <c r="D15" s="64" t="s">
        <v>25</v>
      </c>
      <c r="E15" s="59"/>
      <c r="F15" s="59"/>
      <c r="G15" s="59"/>
      <c r="H15" s="59"/>
      <c r="I15" s="59"/>
      <c r="J15" s="59"/>
      <c r="K15" s="59"/>
      <c r="L15" s="59"/>
      <c r="M15" s="59"/>
    </row>
    <row r="16" spans="1:13" s="3" customFormat="1" ht="18.75" x14ac:dyDescent="0.3">
      <c r="A16" s="61" t="s">
        <v>19</v>
      </c>
      <c r="B16" s="110" t="s">
        <v>29</v>
      </c>
      <c r="C16" s="110"/>
      <c r="D16" s="110"/>
      <c r="E16" s="59"/>
      <c r="F16" s="59"/>
      <c r="G16" s="59"/>
      <c r="H16" s="59"/>
      <c r="I16" s="59"/>
      <c r="J16" s="59"/>
      <c r="K16" s="59"/>
      <c r="L16" s="59"/>
      <c r="M16" s="59"/>
    </row>
    <row r="17" spans="1:16" s="3" customFormat="1" ht="18.75" x14ac:dyDescent="0.3">
      <c r="A17" s="61" t="s">
        <v>30</v>
      </c>
      <c r="B17" s="110" t="s">
        <v>31</v>
      </c>
      <c r="C17" s="110"/>
      <c r="D17" s="110"/>
      <c r="E17" s="59">
        <f>E8+E9+E10+E11+E12+E13+E14+E15+E16</f>
        <v>64</v>
      </c>
      <c r="F17" s="59">
        <f t="shared" ref="F17:M17" si="0">F8+F9+F10+F11+F12+F13+F14+F15+F16</f>
        <v>897.54000000000008</v>
      </c>
      <c r="G17" s="59">
        <f t="shared" si="0"/>
        <v>50</v>
      </c>
      <c r="H17" s="59">
        <f t="shared" si="0"/>
        <v>307.64999999999998</v>
      </c>
      <c r="I17" s="59">
        <f t="shared" si="0"/>
        <v>0</v>
      </c>
      <c r="J17" s="59">
        <f t="shared" si="0"/>
        <v>0</v>
      </c>
      <c r="K17" s="59">
        <f t="shared" si="0"/>
        <v>0</v>
      </c>
      <c r="L17" s="59">
        <f t="shared" si="0"/>
        <v>0</v>
      </c>
      <c r="M17" s="59">
        <f t="shared" si="0"/>
        <v>0</v>
      </c>
    </row>
    <row r="18" spans="1:16" s="3" customFormat="1" ht="18.75" x14ac:dyDescent="0.3">
      <c r="A18" s="61" t="s">
        <v>32</v>
      </c>
      <c r="B18" s="110" t="s">
        <v>33</v>
      </c>
      <c r="C18" s="110"/>
      <c r="D18" s="110"/>
      <c r="E18" s="59"/>
      <c r="F18" s="59"/>
      <c r="G18" s="59"/>
      <c r="H18" s="59"/>
      <c r="I18" s="59"/>
      <c r="J18" s="59"/>
      <c r="K18" s="59"/>
      <c r="L18" s="59"/>
      <c r="M18" s="59"/>
    </row>
    <row r="21" spans="1:16" customFormat="1" x14ac:dyDescent="0.2">
      <c r="E21" s="6"/>
      <c r="F21" s="6"/>
      <c r="G21" s="6"/>
      <c r="H21" s="6"/>
      <c r="I21" s="6"/>
      <c r="J21" s="6"/>
      <c r="K21" s="6"/>
      <c r="L21" s="6"/>
      <c r="M21" s="6"/>
    </row>
    <row r="22" spans="1:16" s="1" customFormat="1" ht="18.75" x14ac:dyDescent="0.3">
      <c r="A22" s="7" t="s">
        <v>35</v>
      </c>
      <c r="E22" s="2"/>
      <c r="F22" s="2"/>
      <c r="G22" s="2"/>
      <c r="H22" s="2"/>
      <c r="I22" s="2"/>
      <c r="J22" s="2"/>
      <c r="K22" s="2"/>
      <c r="L22" s="2"/>
      <c r="M22" s="2"/>
    </row>
    <row r="23" spans="1:16" s="1" customFormat="1" ht="18.75" x14ac:dyDescent="0.3">
      <c r="E23" s="2"/>
      <c r="F23" s="2"/>
      <c r="G23" s="2"/>
      <c r="H23" s="2"/>
      <c r="I23" s="2"/>
      <c r="J23" s="2"/>
      <c r="K23" s="2"/>
      <c r="L23" s="2"/>
      <c r="M23" s="2"/>
    </row>
    <row r="24" spans="1:16" s="1" customFormat="1" ht="36.75" customHeight="1" x14ac:dyDescent="0.3">
      <c r="A24" s="111" t="s">
        <v>94</v>
      </c>
      <c r="B24" s="112"/>
      <c r="C24" s="112"/>
      <c r="D24" s="112"/>
      <c r="E24" s="112"/>
      <c r="F24" s="112"/>
      <c r="G24" s="112"/>
      <c r="H24" s="112"/>
      <c r="I24" s="112"/>
      <c r="J24" s="112"/>
      <c r="K24" s="112"/>
      <c r="L24" s="112"/>
      <c r="M24" s="112"/>
      <c r="N24" s="112"/>
      <c r="O24" s="112"/>
      <c r="P24" s="112"/>
    </row>
    <row r="25" spans="1:16" s="1" customFormat="1" ht="18.75" x14ac:dyDescent="0.3">
      <c r="E25" s="2"/>
      <c r="F25" s="2"/>
      <c r="G25" s="2"/>
      <c r="H25" s="2"/>
      <c r="I25" s="2"/>
      <c r="J25" s="2"/>
      <c r="K25" s="2"/>
      <c r="L25" s="2"/>
      <c r="M25" s="2"/>
    </row>
    <row r="26" spans="1:16" s="1" customFormat="1" ht="56.25" customHeight="1" x14ac:dyDescent="0.3">
      <c r="A26" s="133" t="s">
        <v>0</v>
      </c>
      <c r="B26" s="136" t="s">
        <v>36</v>
      </c>
      <c r="C26" s="136"/>
      <c r="D26" s="136"/>
      <c r="E26" s="114" t="s">
        <v>37</v>
      </c>
      <c r="F26" s="114"/>
      <c r="G26" s="132" t="s">
        <v>79</v>
      </c>
      <c r="H26" s="132"/>
      <c r="I26" s="132"/>
      <c r="J26" s="132"/>
      <c r="K26" s="132"/>
      <c r="L26" s="132"/>
      <c r="M26" s="137" t="s">
        <v>38</v>
      </c>
      <c r="N26" s="137"/>
      <c r="O26" s="137" t="s">
        <v>39</v>
      </c>
      <c r="P26" s="137"/>
    </row>
    <row r="27" spans="1:16" s="1" customFormat="1" ht="20.25" customHeight="1" x14ac:dyDescent="0.3">
      <c r="A27" s="134"/>
      <c r="B27" s="136"/>
      <c r="C27" s="136"/>
      <c r="D27" s="136"/>
      <c r="E27" s="122" t="s">
        <v>40</v>
      </c>
      <c r="F27" s="125" t="s">
        <v>41</v>
      </c>
      <c r="G27" s="122" t="s">
        <v>40</v>
      </c>
      <c r="H27" s="125" t="s">
        <v>41</v>
      </c>
      <c r="I27" s="132" t="s">
        <v>42</v>
      </c>
      <c r="J27" s="132"/>
      <c r="K27" s="132"/>
      <c r="L27" s="132"/>
      <c r="M27" s="122" t="s">
        <v>40</v>
      </c>
      <c r="N27" s="125" t="s">
        <v>41</v>
      </c>
      <c r="O27" s="122" t="s">
        <v>40</v>
      </c>
      <c r="P27" s="125" t="s">
        <v>41</v>
      </c>
    </row>
    <row r="28" spans="1:16" s="1" customFormat="1" ht="18.75" x14ac:dyDescent="0.3">
      <c r="A28" s="134"/>
      <c r="B28" s="136"/>
      <c r="C28" s="136"/>
      <c r="D28" s="136"/>
      <c r="E28" s="122"/>
      <c r="F28" s="125"/>
      <c r="G28" s="122"/>
      <c r="H28" s="125"/>
      <c r="I28" s="131" t="s">
        <v>43</v>
      </c>
      <c r="J28" s="132" t="s">
        <v>44</v>
      </c>
      <c r="K28" s="132"/>
      <c r="L28" s="66" t="s">
        <v>45</v>
      </c>
      <c r="M28" s="122"/>
      <c r="N28" s="125"/>
      <c r="O28" s="122"/>
      <c r="P28" s="125"/>
    </row>
    <row r="29" spans="1:16" s="1" customFormat="1" ht="96" customHeight="1" x14ac:dyDescent="0.3">
      <c r="A29" s="135"/>
      <c r="B29" s="136"/>
      <c r="C29" s="136"/>
      <c r="D29" s="136"/>
      <c r="E29" s="122"/>
      <c r="F29" s="125"/>
      <c r="G29" s="122"/>
      <c r="H29" s="125"/>
      <c r="I29" s="131"/>
      <c r="J29" s="65" t="s">
        <v>46</v>
      </c>
      <c r="K29" s="65" t="s">
        <v>47</v>
      </c>
      <c r="L29" s="65" t="s">
        <v>48</v>
      </c>
      <c r="M29" s="122"/>
      <c r="N29" s="125"/>
      <c r="O29" s="122"/>
      <c r="P29" s="125"/>
    </row>
    <row r="30" spans="1:16" s="2" customFormat="1" ht="18.75" x14ac:dyDescent="0.3">
      <c r="A30" s="60"/>
      <c r="B30" s="116" t="s">
        <v>49</v>
      </c>
      <c r="C30" s="116"/>
      <c r="D30" s="116"/>
      <c r="E30" s="60" t="s">
        <v>50</v>
      </c>
      <c r="F30" s="60" t="s">
        <v>51</v>
      </c>
      <c r="G30" s="60" t="s">
        <v>52</v>
      </c>
      <c r="H30" s="60" t="s">
        <v>53</v>
      </c>
      <c r="I30" s="60" t="s">
        <v>54</v>
      </c>
      <c r="J30" s="60" t="s">
        <v>55</v>
      </c>
      <c r="K30" s="60" t="s">
        <v>56</v>
      </c>
      <c r="L30" s="60" t="s">
        <v>57</v>
      </c>
      <c r="M30" s="60" t="s">
        <v>58</v>
      </c>
      <c r="N30" s="60">
        <v>11</v>
      </c>
      <c r="O30" s="60" t="s">
        <v>59</v>
      </c>
      <c r="P30" s="60" t="s">
        <v>60</v>
      </c>
    </row>
    <row r="31" spans="1:16" s="1" customFormat="1" ht="18.75" x14ac:dyDescent="0.3">
      <c r="A31" s="57" t="s">
        <v>49</v>
      </c>
      <c r="B31" s="122" t="s">
        <v>61</v>
      </c>
      <c r="C31" s="123" t="s">
        <v>62</v>
      </c>
      <c r="D31" s="17" t="s">
        <v>63</v>
      </c>
      <c r="E31" s="59">
        <f>4+5+13</f>
        <v>22</v>
      </c>
      <c r="F31" s="59">
        <f>22.11+25+52</f>
        <v>99.11</v>
      </c>
      <c r="G31" s="62"/>
      <c r="H31" s="62"/>
      <c r="I31" s="62"/>
      <c r="J31" s="62"/>
      <c r="K31" s="62"/>
      <c r="L31" s="62"/>
      <c r="M31" s="59">
        <f>4+4+13</f>
        <v>21</v>
      </c>
      <c r="N31" s="59">
        <f>22.11+20+52</f>
        <v>94.11</v>
      </c>
      <c r="O31" s="59">
        <f>5+4+13</f>
        <v>22</v>
      </c>
      <c r="P31" s="59">
        <f>25+20+52</f>
        <v>97</v>
      </c>
    </row>
    <row r="32" spans="1:16" s="1" customFormat="1" ht="37.5" x14ac:dyDescent="0.3">
      <c r="A32" s="57" t="s">
        <v>50</v>
      </c>
      <c r="B32" s="122"/>
      <c r="C32" s="123"/>
      <c r="D32" s="18" t="s">
        <v>64</v>
      </c>
      <c r="E32" s="62">
        <f>15+5</f>
        <v>20</v>
      </c>
      <c r="F32" s="62">
        <f>66+20.5</f>
        <v>86.5</v>
      </c>
      <c r="G32" s="62"/>
      <c r="H32" s="62"/>
      <c r="I32" s="62"/>
      <c r="J32" s="62"/>
      <c r="K32" s="62"/>
      <c r="L32" s="62"/>
      <c r="M32" s="62">
        <f>6+5</f>
        <v>11</v>
      </c>
      <c r="N32" s="62">
        <f>26.4+20.5</f>
        <v>46.9</v>
      </c>
      <c r="O32" s="62">
        <f>10+2+5</f>
        <v>17</v>
      </c>
      <c r="P32" s="62">
        <f>44+10+20.5</f>
        <v>74.5</v>
      </c>
    </row>
    <row r="33" spans="1:16" s="1" customFormat="1" ht="18.75" x14ac:dyDescent="0.3">
      <c r="A33" s="57" t="s">
        <v>51</v>
      </c>
      <c r="B33" s="122"/>
      <c r="C33" s="123" t="s">
        <v>65</v>
      </c>
      <c r="D33" s="17" t="s">
        <v>63</v>
      </c>
      <c r="E33" s="62">
        <f>4</f>
        <v>4</v>
      </c>
      <c r="F33" s="62">
        <f>44</f>
        <v>44</v>
      </c>
      <c r="G33" s="62"/>
      <c r="H33" s="62"/>
      <c r="I33" s="62"/>
      <c r="J33" s="62"/>
      <c r="K33" s="62"/>
      <c r="L33" s="62"/>
      <c r="M33" s="62">
        <f>1</f>
        <v>1</v>
      </c>
      <c r="N33" s="62">
        <f>8</f>
        <v>8</v>
      </c>
      <c r="O33" s="62"/>
      <c r="P33" s="62"/>
    </row>
    <row r="34" spans="1:16" s="1" customFormat="1" ht="37.5" x14ac:dyDescent="0.3">
      <c r="A34" s="57" t="s">
        <v>52</v>
      </c>
      <c r="B34" s="122"/>
      <c r="C34" s="123"/>
      <c r="D34" s="64" t="s">
        <v>25</v>
      </c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>
        <f>3</f>
        <v>3</v>
      </c>
      <c r="P34" s="62">
        <f>17.8</f>
        <v>17.8</v>
      </c>
    </row>
    <row r="35" spans="1:16" s="1" customFormat="1" ht="37.5" x14ac:dyDescent="0.3">
      <c r="A35" s="57" t="s">
        <v>53</v>
      </c>
      <c r="B35" s="125" t="s">
        <v>66</v>
      </c>
      <c r="C35" s="58" t="s">
        <v>62</v>
      </c>
      <c r="D35" s="64" t="s">
        <v>25</v>
      </c>
      <c r="E35" s="62">
        <f>1</f>
        <v>1</v>
      </c>
      <c r="F35" s="62">
        <f>33.6</f>
        <v>33.6</v>
      </c>
      <c r="G35" s="62"/>
      <c r="H35" s="62"/>
      <c r="I35" s="62"/>
      <c r="J35" s="62"/>
      <c r="K35" s="62"/>
      <c r="L35" s="62"/>
      <c r="M35" s="62">
        <f>1</f>
        <v>1</v>
      </c>
      <c r="N35" s="62">
        <f>33.6</f>
        <v>33.6</v>
      </c>
      <c r="O35" s="62"/>
      <c r="P35" s="62"/>
    </row>
    <row r="36" spans="1:16" s="1" customFormat="1" ht="51" customHeight="1" x14ac:dyDescent="0.3">
      <c r="A36" s="57" t="s">
        <v>54</v>
      </c>
      <c r="B36" s="125"/>
      <c r="C36" s="58" t="s">
        <v>65</v>
      </c>
      <c r="D36" s="64" t="s">
        <v>25</v>
      </c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/>
    </row>
    <row r="37" spans="1:16" s="1" customFormat="1" ht="51.75" customHeight="1" x14ac:dyDescent="0.3">
      <c r="A37" s="57" t="s">
        <v>55</v>
      </c>
      <c r="B37" s="125" t="s">
        <v>67</v>
      </c>
      <c r="C37" s="58" t="s">
        <v>62</v>
      </c>
      <c r="D37" s="64" t="s">
        <v>25</v>
      </c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</row>
    <row r="38" spans="1:16" s="1" customFormat="1" ht="37.5" x14ac:dyDescent="0.3">
      <c r="A38" s="57" t="s">
        <v>56</v>
      </c>
      <c r="B38" s="125"/>
      <c r="C38" s="61" t="s">
        <v>26</v>
      </c>
      <c r="D38" s="64" t="s">
        <v>25</v>
      </c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2"/>
    </row>
    <row r="39" spans="1:16" s="1" customFormat="1" ht="58.5" customHeight="1" x14ac:dyDescent="0.3">
      <c r="A39" s="57" t="s">
        <v>57</v>
      </c>
      <c r="B39" s="125" t="s">
        <v>68</v>
      </c>
      <c r="C39" s="123" t="s">
        <v>69</v>
      </c>
      <c r="D39" s="123"/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2"/>
    </row>
    <row r="40" spans="1:16" s="1" customFormat="1" ht="24" customHeight="1" x14ac:dyDescent="0.3">
      <c r="A40" s="57" t="s">
        <v>58</v>
      </c>
      <c r="B40" s="125"/>
      <c r="C40" s="123" t="s">
        <v>70</v>
      </c>
      <c r="D40" s="123"/>
      <c r="E40" s="62"/>
      <c r="F40" s="62"/>
      <c r="G40" s="62"/>
      <c r="H40" s="62"/>
      <c r="I40" s="62"/>
      <c r="J40" s="62"/>
      <c r="K40" s="62"/>
      <c r="L40" s="62"/>
      <c r="M40" s="62"/>
      <c r="N40" s="62"/>
      <c r="O40" s="62"/>
      <c r="P40" s="62"/>
    </row>
    <row r="41" spans="1:16" s="1" customFormat="1" ht="60" customHeight="1" x14ac:dyDescent="0.3">
      <c r="A41" s="57" t="s">
        <v>71</v>
      </c>
      <c r="B41" s="125"/>
      <c r="C41" s="123" t="s">
        <v>72</v>
      </c>
      <c r="D41" s="123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/>
    </row>
    <row r="42" spans="1:16" s="1" customFormat="1" ht="18.75" x14ac:dyDescent="0.3">
      <c r="A42" s="57" t="s">
        <v>59</v>
      </c>
      <c r="B42" s="125"/>
      <c r="C42" s="124" t="s">
        <v>73</v>
      </c>
      <c r="D42" s="124"/>
      <c r="E42" s="62"/>
      <c r="F42" s="62"/>
      <c r="G42" s="62"/>
      <c r="H42" s="62"/>
      <c r="I42" s="62"/>
      <c r="J42" s="62"/>
      <c r="K42" s="62"/>
      <c r="L42" s="62"/>
      <c r="M42" s="62"/>
      <c r="N42" s="62"/>
      <c r="O42" s="62"/>
      <c r="P42" s="62"/>
    </row>
    <row r="43" spans="1:16" s="1" customFormat="1" ht="63.75" customHeight="1" x14ac:dyDescent="0.3">
      <c r="A43" s="57" t="s">
        <v>60</v>
      </c>
      <c r="B43" s="125"/>
      <c r="C43" s="123" t="s">
        <v>74</v>
      </c>
      <c r="D43" s="123"/>
      <c r="E43" s="62"/>
      <c r="F43" s="62"/>
      <c r="G43" s="62"/>
      <c r="H43" s="62"/>
      <c r="I43" s="62"/>
      <c r="J43" s="62"/>
      <c r="K43" s="62"/>
      <c r="L43" s="62"/>
      <c r="M43" s="62"/>
      <c r="N43" s="62"/>
      <c r="O43" s="62"/>
      <c r="P43" s="62"/>
    </row>
    <row r="44" spans="1:16" s="1" customFormat="1" ht="59.25" customHeight="1" x14ac:dyDescent="0.3">
      <c r="A44" s="57" t="s">
        <v>75</v>
      </c>
      <c r="B44" s="125"/>
      <c r="C44" s="123" t="s">
        <v>76</v>
      </c>
      <c r="D44" s="123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</row>
    <row r="45" spans="1:16" s="1" customFormat="1" ht="18.75" x14ac:dyDescent="0.3">
      <c r="A45" s="57" t="s">
        <v>77</v>
      </c>
      <c r="B45" s="124" t="s">
        <v>78</v>
      </c>
      <c r="C45" s="124"/>
      <c r="D45" s="124"/>
      <c r="E45" s="59">
        <f>E31+E32+E33+E34+E35+E36+E37+E38+E39+E40+E41+E43+E42+E44</f>
        <v>47</v>
      </c>
      <c r="F45" s="59">
        <f t="shared" ref="F45:P45" si="1">F31+F32+F33+F34+F35+F36+F37+F38+F39+F40+F41+F43+F42+F44</f>
        <v>263.21000000000004</v>
      </c>
      <c r="G45" s="59">
        <f t="shared" si="1"/>
        <v>0</v>
      </c>
      <c r="H45" s="59">
        <f t="shared" si="1"/>
        <v>0</v>
      </c>
      <c r="I45" s="59">
        <f t="shared" si="1"/>
        <v>0</v>
      </c>
      <c r="J45" s="59">
        <f t="shared" si="1"/>
        <v>0</v>
      </c>
      <c r="K45" s="59">
        <f t="shared" si="1"/>
        <v>0</v>
      </c>
      <c r="L45" s="59">
        <f t="shared" si="1"/>
        <v>0</v>
      </c>
      <c r="M45" s="59">
        <f t="shared" si="1"/>
        <v>34</v>
      </c>
      <c r="N45" s="59">
        <f t="shared" si="1"/>
        <v>182.60999999999999</v>
      </c>
      <c r="O45" s="59">
        <f t="shared" si="1"/>
        <v>42</v>
      </c>
      <c r="P45" s="59">
        <f t="shared" si="1"/>
        <v>189.3</v>
      </c>
    </row>
    <row r="46" spans="1:16" customFormat="1" x14ac:dyDescent="0.2">
      <c r="E46" s="6"/>
      <c r="F46" s="6"/>
      <c r="G46" s="6"/>
      <c r="H46" s="6"/>
      <c r="I46" s="6"/>
      <c r="J46" s="6"/>
      <c r="K46" s="6"/>
      <c r="L46" s="6"/>
      <c r="M46" s="6"/>
    </row>
    <row r="47" spans="1:16" ht="18.75" x14ac:dyDescent="0.2">
      <c r="A47" s="32" t="s">
        <v>86</v>
      </c>
    </row>
  </sheetData>
  <mergeCells count="55">
    <mergeCell ref="B45:D45"/>
    <mergeCell ref="B39:B44"/>
    <mergeCell ref="C39:D39"/>
    <mergeCell ref="C40:D40"/>
    <mergeCell ref="C41:D41"/>
    <mergeCell ref="C42:D42"/>
    <mergeCell ref="C43:D43"/>
    <mergeCell ref="C44:D44"/>
    <mergeCell ref="B37:B38"/>
    <mergeCell ref="I27:L27"/>
    <mergeCell ref="M27:M29"/>
    <mergeCell ref="N27:N29"/>
    <mergeCell ref="O27:O29"/>
    <mergeCell ref="B30:D30"/>
    <mergeCell ref="B31:B34"/>
    <mergeCell ref="C31:C32"/>
    <mergeCell ref="C33:C34"/>
    <mergeCell ref="B35:B36"/>
    <mergeCell ref="P27:P29"/>
    <mergeCell ref="I28:I29"/>
    <mergeCell ref="J28:K28"/>
    <mergeCell ref="A26:A29"/>
    <mergeCell ref="B26:D29"/>
    <mergeCell ref="E26:F26"/>
    <mergeCell ref="G26:L26"/>
    <mergeCell ref="M26:N26"/>
    <mergeCell ref="O26:P26"/>
    <mergeCell ref="E27:E29"/>
    <mergeCell ref="F27:F29"/>
    <mergeCell ref="G27:G29"/>
    <mergeCell ref="H27:H29"/>
    <mergeCell ref="A24:P24"/>
    <mergeCell ref="I4:I5"/>
    <mergeCell ref="J4:J5"/>
    <mergeCell ref="K4:M4"/>
    <mergeCell ref="B6:D6"/>
    <mergeCell ref="B7:D7"/>
    <mergeCell ref="B8:B11"/>
    <mergeCell ref="C8:C9"/>
    <mergeCell ref="C10:C11"/>
    <mergeCell ref="B12:B13"/>
    <mergeCell ref="B14:B15"/>
    <mergeCell ref="B16:D16"/>
    <mergeCell ref="B17:D17"/>
    <mergeCell ref="B18:D18"/>
    <mergeCell ref="A1:M1"/>
    <mergeCell ref="A3:A6"/>
    <mergeCell ref="B3:D5"/>
    <mergeCell ref="E3:F3"/>
    <mergeCell ref="G3:H3"/>
    <mergeCell ref="I3:M3"/>
    <mergeCell ref="E4:E5"/>
    <mergeCell ref="F4:F5"/>
    <mergeCell ref="G4:G5"/>
    <mergeCell ref="H4:H5"/>
  </mergeCells>
  <pageMargins left="0.7" right="0.7" top="0.75" bottom="0.75" header="0.3" footer="0.3"/>
  <pageSetup paperSize="9" scale="32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7"/>
  <sheetViews>
    <sheetView zoomScale="85" zoomScaleNormal="85" workbookViewId="0">
      <selection activeCell="A24" sqref="A24:P24"/>
    </sheetView>
  </sheetViews>
  <sheetFormatPr defaultRowHeight="12.75" x14ac:dyDescent="0.2"/>
  <cols>
    <col min="1" max="1" width="4.5703125" style="4" customWidth="1"/>
    <col min="2" max="2" width="18" style="4" customWidth="1"/>
    <col min="3" max="3" width="18.28515625" style="4" customWidth="1"/>
    <col min="4" max="4" width="28.85546875" style="4" customWidth="1"/>
    <col min="5" max="5" width="15.5703125" style="5" customWidth="1"/>
    <col min="6" max="6" width="11.85546875" style="5" customWidth="1"/>
    <col min="7" max="7" width="16" style="5" customWidth="1"/>
    <col min="8" max="8" width="12.5703125" style="5" customWidth="1"/>
    <col min="9" max="9" width="16" style="5" customWidth="1"/>
    <col min="10" max="10" width="13.7109375" style="5" bestFit="1" customWidth="1"/>
    <col min="11" max="11" width="16.85546875" style="5" customWidth="1"/>
    <col min="12" max="12" width="21.5703125" style="5" customWidth="1"/>
    <col min="13" max="13" width="21.42578125" style="5" customWidth="1"/>
    <col min="14" max="16384" width="9.140625" style="4"/>
  </cols>
  <sheetData>
    <row r="1" spans="1:13" s="1" customFormat="1" ht="39.75" customHeight="1" x14ac:dyDescent="0.3">
      <c r="A1" s="126" t="s">
        <v>95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</row>
    <row r="2" spans="1:13" s="1" customFormat="1" ht="18.75" x14ac:dyDescent="0.3">
      <c r="E2" s="2"/>
      <c r="F2" s="2"/>
      <c r="G2" s="2"/>
      <c r="H2" s="2"/>
      <c r="I2" s="2"/>
      <c r="J2" s="2"/>
      <c r="K2" s="2"/>
      <c r="L2" s="2"/>
      <c r="M2" s="2"/>
    </row>
    <row r="3" spans="1:13" s="3" customFormat="1" ht="75" customHeight="1" x14ac:dyDescent="0.3">
      <c r="A3" s="110" t="s">
        <v>0</v>
      </c>
      <c r="B3" s="110" t="s">
        <v>1</v>
      </c>
      <c r="C3" s="110"/>
      <c r="D3" s="110"/>
      <c r="E3" s="113" t="s">
        <v>2</v>
      </c>
      <c r="F3" s="113"/>
      <c r="G3" s="113" t="s">
        <v>3</v>
      </c>
      <c r="H3" s="113"/>
      <c r="I3" s="113" t="s">
        <v>4</v>
      </c>
      <c r="J3" s="113"/>
      <c r="K3" s="113"/>
      <c r="L3" s="113"/>
      <c r="M3" s="113"/>
    </row>
    <row r="4" spans="1:13" s="3" customFormat="1" ht="18.75" x14ac:dyDescent="0.3">
      <c r="A4" s="110"/>
      <c r="B4" s="110"/>
      <c r="C4" s="110"/>
      <c r="D4" s="110"/>
      <c r="E4" s="113" t="s">
        <v>5</v>
      </c>
      <c r="F4" s="113" t="s">
        <v>6</v>
      </c>
      <c r="G4" s="113" t="s">
        <v>5</v>
      </c>
      <c r="H4" s="113" t="s">
        <v>6</v>
      </c>
      <c r="I4" s="113" t="s">
        <v>5</v>
      </c>
      <c r="J4" s="113" t="s">
        <v>6</v>
      </c>
      <c r="K4" s="114" t="s">
        <v>34</v>
      </c>
      <c r="L4" s="113"/>
      <c r="M4" s="113"/>
    </row>
    <row r="5" spans="1:13" s="3" customFormat="1" ht="57" customHeight="1" x14ac:dyDescent="0.3">
      <c r="A5" s="110"/>
      <c r="B5" s="110"/>
      <c r="C5" s="110"/>
      <c r="D5" s="110"/>
      <c r="E5" s="113"/>
      <c r="F5" s="113"/>
      <c r="G5" s="113"/>
      <c r="H5" s="113"/>
      <c r="I5" s="113"/>
      <c r="J5" s="113"/>
      <c r="K5" s="63" t="s">
        <v>7</v>
      </c>
      <c r="L5" s="63" t="s">
        <v>8</v>
      </c>
      <c r="M5" s="63" t="s">
        <v>9</v>
      </c>
    </row>
    <row r="6" spans="1:13" s="3" customFormat="1" ht="18.75" x14ac:dyDescent="0.3">
      <c r="A6" s="110"/>
      <c r="B6" s="110" t="s">
        <v>10</v>
      </c>
      <c r="C6" s="110"/>
      <c r="D6" s="110"/>
      <c r="E6" s="63" t="s">
        <v>11</v>
      </c>
      <c r="F6" s="63" t="s">
        <v>12</v>
      </c>
      <c r="G6" s="63" t="s">
        <v>13</v>
      </c>
      <c r="H6" s="63" t="s">
        <v>14</v>
      </c>
      <c r="I6" s="63" t="s">
        <v>15</v>
      </c>
      <c r="J6" s="63" t="s">
        <v>16</v>
      </c>
      <c r="K6" s="63" t="s">
        <v>17</v>
      </c>
      <c r="L6" s="63" t="s">
        <v>18</v>
      </c>
      <c r="M6" s="63" t="s">
        <v>19</v>
      </c>
    </row>
    <row r="7" spans="1:13" s="3" customFormat="1" ht="18.75" x14ac:dyDescent="0.3">
      <c r="A7" s="61" t="s">
        <v>20</v>
      </c>
      <c r="B7" s="110" t="s">
        <v>21</v>
      </c>
      <c r="C7" s="110"/>
      <c r="D7" s="110"/>
      <c r="E7" s="63"/>
      <c r="F7" s="63"/>
      <c r="G7" s="63"/>
      <c r="H7" s="63"/>
      <c r="I7" s="63"/>
      <c r="J7" s="63"/>
      <c r="K7" s="63"/>
      <c r="L7" s="63"/>
      <c r="M7" s="63"/>
    </row>
    <row r="8" spans="1:13" s="3" customFormat="1" ht="18.75" x14ac:dyDescent="0.3">
      <c r="A8" s="61" t="s">
        <v>11</v>
      </c>
      <c r="B8" s="110" t="s">
        <v>22</v>
      </c>
      <c r="C8" s="110" t="s">
        <v>23</v>
      </c>
      <c r="D8" s="64" t="s">
        <v>24</v>
      </c>
      <c r="E8" s="59">
        <f>17+7+10+7+3</f>
        <v>44</v>
      </c>
      <c r="F8" s="59">
        <f>90+35+50+35+15</f>
        <v>225</v>
      </c>
      <c r="G8" s="68">
        <f>17+13+4+7+3</f>
        <v>44</v>
      </c>
      <c r="H8" s="68">
        <f>90+65+20+35+15</f>
        <v>225</v>
      </c>
      <c r="I8" s="59"/>
      <c r="J8" s="59"/>
      <c r="K8" s="59"/>
      <c r="L8" s="59"/>
      <c r="M8" s="59"/>
    </row>
    <row r="9" spans="1:13" s="3" customFormat="1" ht="37.5" x14ac:dyDescent="0.3">
      <c r="A9" s="61" t="s">
        <v>12</v>
      </c>
      <c r="B9" s="110"/>
      <c r="C9" s="110"/>
      <c r="D9" s="64" t="s">
        <v>25</v>
      </c>
      <c r="E9" s="59">
        <f>7+27</f>
        <v>34</v>
      </c>
      <c r="F9" s="59">
        <f>35+118.8</f>
        <v>153.80000000000001</v>
      </c>
      <c r="G9" s="59">
        <f>13+16</f>
        <v>29</v>
      </c>
      <c r="H9" s="59">
        <f>65+70.48</f>
        <v>135.48000000000002</v>
      </c>
      <c r="I9" s="59"/>
      <c r="J9" s="59"/>
      <c r="K9" s="59"/>
      <c r="L9" s="59"/>
      <c r="M9" s="59"/>
    </row>
    <row r="10" spans="1:13" s="3" customFormat="1" ht="18.75" x14ac:dyDescent="0.3">
      <c r="A10" s="61" t="s">
        <v>13</v>
      </c>
      <c r="B10" s="110"/>
      <c r="C10" s="110" t="s">
        <v>26</v>
      </c>
      <c r="D10" s="64" t="s">
        <v>24</v>
      </c>
      <c r="E10" s="59">
        <f>5</f>
        <v>5</v>
      </c>
      <c r="F10" s="59">
        <f>39.29</f>
        <v>39.29</v>
      </c>
      <c r="G10" s="59">
        <f>3</f>
        <v>3</v>
      </c>
      <c r="H10" s="59">
        <f>23.041</f>
        <v>23.041</v>
      </c>
      <c r="I10" s="59"/>
      <c r="J10" s="59"/>
      <c r="K10" s="59"/>
      <c r="L10" s="59"/>
      <c r="M10" s="59"/>
    </row>
    <row r="11" spans="1:13" s="3" customFormat="1" ht="37.5" x14ac:dyDescent="0.3">
      <c r="A11" s="61" t="s">
        <v>14</v>
      </c>
      <c r="B11" s="110"/>
      <c r="C11" s="110"/>
      <c r="D11" s="64" t="s">
        <v>25</v>
      </c>
      <c r="E11" s="59">
        <f>1</f>
        <v>1</v>
      </c>
      <c r="F11" s="59">
        <f>33.62</f>
        <v>33.619999999999997</v>
      </c>
      <c r="G11" s="68">
        <f>1</f>
        <v>1</v>
      </c>
      <c r="H11" s="68">
        <f>33.62</f>
        <v>33.619999999999997</v>
      </c>
      <c r="I11" s="59"/>
      <c r="J11" s="59"/>
      <c r="K11" s="59"/>
      <c r="L11" s="59"/>
      <c r="M11" s="59"/>
    </row>
    <row r="12" spans="1:13" s="3" customFormat="1" ht="37.5" x14ac:dyDescent="0.3">
      <c r="A12" s="61" t="s">
        <v>15</v>
      </c>
      <c r="B12" s="110" t="s">
        <v>27</v>
      </c>
      <c r="C12" s="61" t="s">
        <v>23</v>
      </c>
      <c r="D12" s="64" t="s">
        <v>25</v>
      </c>
      <c r="E12" s="59"/>
      <c r="F12" s="59"/>
      <c r="G12" s="59">
        <f>1</f>
        <v>1</v>
      </c>
      <c r="H12" s="59">
        <f>10</f>
        <v>10</v>
      </c>
      <c r="I12" s="59"/>
      <c r="J12" s="59"/>
      <c r="K12" s="59"/>
      <c r="L12" s="59"/>
      <c r="M12" s="59"/>
    </row>
    <row r="13" spans="1:13" s="3" customFormat="1" ht="37.5" x14ac:dyDescent="0.3">
      <c r="A13" s="61" t="s">
        <v>16</v>
      </c>
      <c r="B13" s="110"/>
      <c r="C13" s="61" t="s">
        <v>26</v>
      </c>
      <c r="D13" s="64" t="s">
        <v>25</v>
      </c>
      <c r="E13" s="59">
        <f>3</f>
        <v>3</v>
      </c>
      <c r="F13" s="59">
        <f>76.28</f>
        <v>76.28</v>
      </c>
      <c r="G13" s="59">
        <f>5</f>
        <v>5</v>
      </c>
      <c r="H13" s="59">
        <f>304.45</f>
        <v>304.45</v>
      </c>
      <c r="I13" s="59"/>
      <c r="J13" s="59"/>
      <c r="K13" s="59"/>
      <c r="L13" s="59"/>
      <c r="M13" s="59"/>
    </row>
    <row r="14" spans="1:13" s="3" customFormat="1" ht="37.5" x14ac:dyDescent="0.3">
      <c r="A14" s="61">
        <v>8</v>
      </c>
      <c r="B14" s="110" t="s">
        <v>28</v>
      </c>
      <c r="C14" s="61" t="s">
        <v>23</v>
      </c>
      <c r="D14" s="64" t="s">
        <v>25</v>
      </c>
      <c r="E14" s="59"/>
      <c r="F14" s="59"/>
      <c r="G14" s="59"/>
      <c r="H14" s="59"/>
      <c r="I14" s="59"/>
      <c r="J14" s="59"/>
      <c r="K14" s="59"/>
      <c r="L14" s="59"/>
      <c r="M14" s="59"/>
    </row>
    <row r="15" spans="1:13" s="3" customFormat="1" ht="37.5" x14ac:dyDescent="0.3">
      <c r="A15" s="61" t="s">
        <v>18</v>
      </c>
      <c r="B15" s="110"/>
      <c r="C15" s="61" t="s">
        <v>26</v>
      </c>
      <c r="D15" s="64" t="s">
        <v>25</v>
      </c>
      <c r="E15" s="59"/>
      <c r="F15" s="59"/>
      <c r="G15" s="59"/>
      <c r="H15" s="59"/>
      <c r="I15" s="59"/>
      <c r="J15" s="59"/>
      <c r="K15" s="59"/>
      <c r="L15" s="59"/>
      <c r="M15" s="59"/>
    </row>
    <row r="16" spans="1:13" s="3" customFormat="1" ht="18.75" x14ac:dyDescent="0.3">
      <c r="A16" s="61" t="s">
        <v>19</v>
      </c>
      <c r="B16" s="110" t="s">
        <v>29</v>
      </c>
      <c r="C16" s="110"/>
      <c r="D16" s="110"/>
      <c r="E16" s="59"/>
      <c r="F16" s="59"/>
      <c r="G16" s="59"/>
      <c r="H16" s="59"/>
      <c r="I16" s="59"/>
      <c r="J16" s="59"/>
      <c r="K16" s="59"/>
      <c r="L16" s="59"/>
      <c r="M16" s="59"/>
    </row>
    <row r="17" spans="1:16" s="3" customFormat="1" ht="18.75" x14ac:dyDescent="0.3">
      <c r="A17" s="61" t="s">
        <v>30</v>
      </c>
      <c r="B17" s="110" t="s">
        <v>31</v>
      </c>
      <c r="C17" s="110"/>
      <c r="D17" s="110"/>
      <c r="E17" s="59">
        <f>E8+E9+E10+E11+E12+E13+E14+E15+E16</f>
        <v>87</v>
      </c>
      <c r="F17" s="59">
        <f t="shared" ref="F17:M17" si="0">F8+F9+F10+F11+F12+F13+F14+F15+F16</f>
        <v>527.99</v>
      </c>
      <c r="G17" s="59">
        <f t="shared" si="0"/>
        <v>83</v>
      </c>
      <c r="H17" s="59">
        <f t="shared" si="0"/>
        <v>731.59100000000001</v>
      </c>
      <c r="I17" s="59">
        <f t="shared" si="0"/>
        <v>0</v>
      </c>
      <c r="J17" s="59">
        <f t="shared" si="0"/>
        <v>0</v>
      </c>
      <c r="K17" s="59">
        <f t="shared" si="0"/>
        <v>0</v>
      </c>
      <c r="L17" s="59">
        <f t="shared" si="0"/>
        <v>0</v>
      </c>
      <c r="M17" s="59">
        <f t="shared" si="0"/>
        <v>0</v>
      </c>
    </row>
    <row r="18" spans="1:16" s="3" customFormat="1" ht="18.75" x14ac:dyDescent="0.3">
      <c r="A18" s="61" t="s">
        <v>32</v>
      </c>
      <c r="B18" s="110" t="s">
        <v>33</v>
      </c>
      <c r="C18" s="110"/>
      <c r="D18" s="110"/>
      <c r="E18" s="59"/>
      <c r="F18" s="59"/>
      <c r="G18" s="59"/>
      <c r="H18" s="59"/>
      <c r="I18" s="59"/>
      <c r="J18" s="59"/>
      <c r="K18" s="59"/>
      <c r="L18" s="59"/>
      <c r="M18" s="59"/>
    </row>
    <row r="21" spans="1:16" customFormat="1" x14ac:dyDescent="0.2">
      <c r="E21" s="6"/>
      <c r="F21" s="6"/>
      <c r="G21" s="6"/>
      <c r="H21" s="6"/>
      <c r="I21" s="6"/>
      <c r="J21" s="6"/>
      <c r="K21" s="6"/>
      <c r="L21" s="6"/>
      <c r="M21" s="6"/>
    </row>
    <row r="22" spans="1:16" s="1" customFormat="1" ht="18.75" x14ac:dyDescent="0.3">
      <c r="A22" s="7" t="s">
        <v>35</v>
      </c>
      <c r="E22" s="2"/>
      <c r="F22" s="2"/>
      <c r="G22" s="2"/>
      <c r="H22" s="2"/>
      <c r="I22" s="2"/>
      <c r="J22" s="2"/>
      <c r="K22" s="2"/>
      <c r="L22" s="2"/>
      <c r="M22" s="2"/>
    </row>
    <row r="23" spans="1:16" s="1" customFormat="1" ht="18.75" x14ac:dyDescent="0.3">
      <c r="E23" s="2"/>
      <c r="F23" s="2"/>
      <c r="G23" s="2"/>
      <c r="H23" s="2"/>
      <c r="I23" s="2"/>
      <c r="J23" s="2"/>
      <c r="K23" s="2"/>
      <c r="L23" s="2"/>
      <c r="M23" s="2"/>
    </row>
    <row r="24" spans="1:16" s="1" customFormat="1" ht="36.75" customHeight="1" x14ac:dyDescent="0.3">
      <c r="A24" s="111" t="s">
        <v>96</v>
      </c>
      <c r="B24" s="112"/>
      <c r="C24" s="112"/>
      <c r="D24" s="112"/>
      <c r="E24" s="112"/>
      <c r="F24" s="112"/>
      <c r="G24" s="112"/>
      <c r="H24" s="112"/>
      <c r="I24" s="112"/>
      <c r="J24" s="112"/>
      <c r="K24" s="112"/>
      <c r="L24" s="112"/>
      <c r="M24" s="112"/>
      <c r="N24" s="112"/>
      <c r="O24" s="112"/>
      <c r="P24" s="112"/>
    </row>
    <row r="25" spans="1:16" s="1" customFormat="1" ht="18.75" x14ac:dyDescent="0.3">
      <c r="E25" s="2"/>
      <c r="F25" s="2"/>
      <c r="G25" s="2"/>
      <c r="H25" s="2"/>
      <c r="I25" s="2"/>
      <c r="J25" s="2"/>
      <c r="K25" s="2"/>
      <c r="L25" s="2"/>
      <c r="M25" s="2"/>
    </row>
    <row r="26" spans="1:16" s="1" customFormat="1" ht="56.25" customHeight="1" x14ac:dyDescent="0.3">
      <c r="A26" s="128" t="s">
        <v>0</v>
      </c>
      <c r="B26" s="115" t="s">
        <v>36</v>
      </c>
      <c r="C26" s="115"/>
      <c r="D26" s="115"/>
      <c r="E26" s="113" t="s">
        <v>37</v>
      </c>
      <c r="F26" s="113"/>
      <c r="G26" s="116" t="s">
        <v>79</v>
      </c>
      <c r="H26" s="116"/>
      <c r="I26" s="116"/>
      <c r="J26" s="116"/>
      <c r="K26" s="116"/>
      <c r="L26" s="116"/>
      <c r="M26" s="117" t="s">
        <v>38</v>
      </c>
      <c r="N26" s="117"/>
      <c r="O26" s="117" t="s">
        <v>39</v>
      </c>
      <c r="P26" s="117"/>
    </row>
    <row r="27" spans="1:16" s="1" customFormat="1" ht="20.25" customHeight="1" x14ac:dyDescent="0.3">
      <c r="A27" s="129"/>
      <c r="B27" s="115"/>
      <c r="C27" s="115"/>
      <c r="D27" s="115"/>
      <c r="E27" s="118" t="s">
        <v>40</v>
      </c>
      <c r="F27" s="119" t="s">
        <v>41</v>
      </c>
      <c r="G27" s="118" t="s">
        <v>40</v>
      </c>
      <c r="H27" s="119" t="s">
        <v>41</v>
      </c>
      <c r="I27" s="116" t="s">
        <v>42</v>
      </c>
      <c r="J27" s="116"/>
      <c r="K27" s="116"/>
      <c r="L27" s="116"/>
      <c r="M27" s="118" t="s">
        <v>40</v>
      </c>
      <c r="N27" s="119" t="s">
        <v>41</v>
      </c>
      <c r="O27" s="118" t="s">
        <v>40</v>
      </c>
      <c r="P27" s="119" t="s">
        <v>41</v>
      </c>
    </row>
    <row r="28" spans="1:16" s="1" customFormat="1" ht="18.75" x14ac:dyDescent="0.3">
      <c r="A28" s="129"/>
      <c r="B28" s="115"/>
      <c r="C28" s="115"/>
      <c r="D28" s="115"/>
      <c r="E28" s="118"/>
      <c r="F28" s="119"/>
      <c r="G28" s="118"/>
      <c r="H28" s="119"/>
      <c r="I28" s="120" t="s">
        <v>43</v>
      </c>
      <c r="J28" s="116" t="s">
        <v>44</v>
      </c>
      <c r="K28" s="116"/>
      <c r="L28" s="60" t="s">
        <v>45</v>
      </c>
      <c r="M28" s="118"/>
      <c r="N28" s="119"/>
      <c r="O28" s="118"/>
      <c r="P28" s="119"/>
    </row>
    <row r="29" spans="1:16" s="1" customFormat="1" ht="96" customHeight="1" x14ac:dyDescent="0.3">
      <c r="A29" s="130"/>
      <c r="B29" s="115"/>
      <c r="C29" s="115"/>
      <c r="D29" s="115"/>
      <c r="E29" s="118"/>
      <c r="F29" s="119"/>
      <c r="G29" s="118"/>
      <c r="H29" s="119"/>
      <c r="I29" s="120"/>
      <c r="J29" s="63" t="s">
        <v>46</v>
      </c>
      <c r="K29" s="63" t="s">
        <v>47</v>
      </c>
      <c r="L29" s="63" t="s">
        <v>48</v>
      </c>
      <c r="M29" s="118"/>
      <c r="N29" s="119"/>
      <c r="O29" s="118"/>
      <c r="P29" s="119"/>
    </row>
    <row r="30" spans="1:16" s="2" customFormat="1" ht="18.75" x14ac:dyDescent="0.3">
      <c r="A30" s="60"/>
      <c r="B30" s="116" t="s">
        <v>49</v>
      </c>
      <c r="C30" s="116"/>
      <c r="D30" s="116"/>
      <c r="E30" s="60" t="s">
        <v>50</v>
      </c>
      <c r="F30" s="60" t="s">
        <v>51</v>
      </c>
      <c r="G30" s="60" t="s">
        <v>52</v>
      </c>
      <c r="H30" s="60" t="s">
        <v>53</v>
      </c>
      <c r="I30" s="60" t="s">
        <v>54</v>
      </c>
      <c r="J30" s="60" t="s">
        <v>55</v>
      </c>
      <c r="K30" s="60" t="s">
        <v>56</v>
      </c>
      <c r="L30" s="60" t="s">
        <v>57</v>
      </c>
      <c r="M30" s="60" t="s">
        <v>58</v>
      </c>
      <c r="N30" s="60">
        <v>11</v>
      </c>
      <c r="O30" s="60" t="s">
        <v>59</v>
      </c>
      <c r="P30" s="60" t="s">
        <v>60</v>
      </c>
    </row>
    <row r="31" spans="1:16" s="1" customFormat="1" ht="18.75" x14ac:dyDescent="0.3">
      <c r="A31" s="57" t="s">
        <v>49</v>
      </c>
      <c r="B31" s="122" t="s">
        <v>61</v>
      </c>
      <c r="C31" s="123" t="s">
        <v>62</v>
      </c>
      <c r="D31" s="17" t="s">
        <v>63</v>
      </c>
      <c r="E31" s="59">
        <f>21+5+2</f>
        <v>28</v>
      </c>
      <c r="F31" s="59">
        <f>90+25+10</f>
        <v>125</v>
      </c>
      <c r="G31" s="62"/>
      <c r="H31" s="62"/>
      <c r="I31" s="62"/>
      <c r="J31" s="62"/>
      <c r="K31" s="62"/>
      <c r="L31" s="62"/>
      <c r="M31" s="59">
        <f>21+5+2</f>
        <v>28</v>
      </c>
      <c r="N31" s="59">
        <f>90+25+10</f>
        <v>125</v>
      </c>
      <c r="O31" s="59">
        <f>14+6+2</f>
        <v>22</v>
      </c>
      <c r="P31" s="59">
        <f>63+30+10</f>
        <v>103</v>
      </c>
    </row>
    <row r="32" spans="1:16" s="1" customFormat="1" ht="37.5" x14ac:dyDescent="0.3">
      <c r="A32" s="57" t="s">
        <v>50</v>
      </c>
      <c r="B32" s="122"/>
      <c r="C32" s="123"/>
      <c r="D32" s="18" t="s">
        <v>64</v>
      </c>
      <c r="E32" s="62">
        <f>29+2</f>
        <v>31</v>
      </c>
      <c r="F32" s="62">
        <f>127.6+10</f>
        <v>137.6</v>
      </c>
      <c r="G32" s="62"/>
      <c r="H32" s="62"/>
      <c r="I32" s="62"/>
      <c r="J32" s="62"/>
      <c r="K32" s="62"/>
      <c r="L32" s="62"/>
      <c r="M32" s="62">
        <f>29+2</f>
        <v>31</v>
      </c>
      <c r="N32" s="62">
        <f>127.6+10</f>
        <v>137.6</v>
      </c>
      <c r="O32" s="62">
        <f>21+1</f>
        <v>22</v>
      </c>
      <c r="P32" s="62">
        <f>92.4+5</f>
        <v>97.4</v>
      </c>
    </row>
    <row r="33" spans="1:16" s="1" customFormat="1" ht="18.75" x14ac:dyDescent="0.3">
      <c r="A33" s="57" t="s">
        <v>51</v>
      </c>
      <c r="B33" s="122"/>
      <c r="C33" s="123" t="s">
        <v>65</v>
      </c>
      <c r="D33" s="17" t="s">
        <v>63</v>
      </c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2"/>
    </row>
    <row r="34" spans="1:16" s="1" customFormat="1" ht="37.5" x14ac:dyDescent="0.3">
      <c r="A34" s="57" t="s">
        <v>52</v>
      </c>
      <c r="B34" s="122"/>
      <c r="C34" s="123"/>
      <c r="D34" s="64" t="s">
        <v>25</v>
      </c>
      <c r="E34" s="62">
        <f>3</f>
        <v>3</v>
      </c>
      <c r="F34" s="62">
        <f>29.741</f>
        <v>29.741</v>
      </c>
      <c r="G34" s="62"/>
      <c r="H34" s="62"/>
      <c r="I34" s="62"/>
      <c r="J34" s="62"/>
      <c r="K34" s="62"/>
      <c r="L34" s="62"/>
      <c r="M34" s="67">
        <f>3</f>
        <v>3</v>
      </c>
      <c r="N34" s="67">
        <f>29.741</f>
        <v>29.741</v>
      </c>
      <c r="O34" s="62">
        <f>3</f>
        <v>3</v>
      </c>
      <c r="P34" s="62">
        <f>28.041</f>
        <v>28.041</v>
      </c>
    </row>
    <row r="35" spans="1:16" s="1" customFormat="1" ht="37.5" x14ac:dyDescent="0.3">
      <c r="A35" s="57" t="s">
        <v>53</v>
      </c>
      <c r="B35" s="125" t="s">
        <v>66</v>
      </c>
      <c r="C35" s="58" t="s">
        <v>62</v>
      </c>
      <c r="D35" s="64" t="s">
        <v>25</v>
      </c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</row>
    <row r="36" spans="1:16" s="1" customFormat="1" ht="51" customHeight="1" x14ac:dyDescent="0.3">
      <c r="A36" s="57" t="s">
        <v>54</v>
      </c>
      <c r="B36" s="125"/>
      <c r="C36" s="58" t="s">
        <v>65</v>
      </c>
      <c r="D36" s="64" t="s">
        <v>25</v>
      </c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/>
    </row>
    <row r="37" spans="1:16" s="1" customFormat="1" ht="51.75" customHeight="1" x14ac:dyDescent="0.3">
      <c r="A37" s="57" t="s">
        <v>55</v>
      </c>
      <c r="B37" s="125" t="s">
        <v>67</v>
      </c>
      <c r="C37" s="58" t="s">
        <v>62</v>
      </c>
      <c r="D37" s="64" t="s">
        <v>25</v>
      </c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</row>
    <row r="38" spans="1:16" s="1" customFormat="1" ht="37.5" x14ac:dyDescent="0.3">
      <c r="A38" s="57" t="s">
        <v>56</v>
      </c>
      <c r="B38" s="125"/>
      <c r="C38" s="61" t="s">
        <v>26</v>
      </c>
      <c r="D38" s="64" t="s">
        <v>25</v>
      </c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2"/>
    </row>
    <row r="39" spans="1:16" s="1" customFormat="1" ht="58.5" customHeight="1" x14ac:dyDescent="0.3">
      <c r="A39" s="57" t="s">
        <v>57</v>
      </c>
      <c r="B39" s="125" t="s">
        <v>68</v>
      </c>
      <c r="C39" s="123" t="s">
        <v>69</v>
      </c>
      <c r="D39" s="123"/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2"/>
    </row>
    <row r="40" spans="1:16" s="1" customFormat="1" ht="24" customHeight="1" x14ac:dyDescent="0.3">
      <c r="A40" s="57" t="s">
        <v>58</v>
      </c>
      <c r="B40" s="125"/>
      <c r="C40" s="123" t="s">
        <v>70</v>
      </c>
      <c r="D40" s="123"/>
      <c r="E40" s="62"/>
      <c r="F40" s="62"/>
      <c r="G40" s="62"/>
      <c r="H40" s="62"/>
      <c r="I40" s="62"/>
      <c r="J40" s="62"/>
      <c r="K40" s="62"/>
      <c r="L40" s="62"/>
      <c r="M40" s="62"/>
      <c r="N40" s="62"/>
      <c r="O40" s="62"/>
      <c r="P40" s="62"/>
    </row>
    <row r="41" spans="1:16" s="1" customFormat="1" ht="60" customHeight="1" x14ac:dyDescent="0.3">
      <c r="A41" s="57" t="s">
        <v>71</v>
      </c>
      <c r="B41" s="125"/>
      <c r="C41" s="123" t="s">
        <v>72</v>
      </c>
      <c r="D41" s="123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/>
    </row>
    <row r="42" spans="1:16" s="1" customFormat="1" ht="18.75" x14ac:dyDescent="0.3">
      <c r="A42" s="57" t="s">
        <v>59</v>
      </c>
      <c r="B42" s="125"/>
      <c r="C42" s="124" t="s">
        <v>73</v>
      </c>
      <c r="D42" s="124"/>
      <c r="E42" s="62"/>
      <c r="F42" s="62"/>
      <c r="G42" s="62"/>
      <c r="H42" s="62"/>
      <c r="I42" s="62"/>
      <c r="J42" s="62"/>
      <c r="K42" s="62"/>
      <c r="L42" s="62"/>
      <c r="M42" s="62"/>
      <c r="N42" s="62"/>
      <c r="O42" s="62"/>
      <c r="P42" s="62"/>
    </row>
    <row r="43" spans="1:16" s="1" customFormat="1" ht="63.75" customHeight="1" x14ac:dyDescent="0.3">
      <c r="A43" s="57" t="s">
        <v>60</v>
      </c>
      <c r="B43" s="125"/>
      <c r="C43" s="123" t="s">
        <v>74</v>
      </c>
      <c r="D43" s="123"/>
      <c r="E43" s="62"/>
      <c r="F43" s="62"/>
      <c r="G43" s="62"/>
      <c r="H43" s="62"/>
      <c r="I43" s="62"/>
      <c r="J43" s="62"/>
      <c r="K43" s="62"/>
      <c r="L43" s="62"/>
      <c r="M43" s="62"/>
      <c r="N43" s="62"/>
      <c r="O43" s="62"/>
      <c r="P43" s="62"/>
    </row>
    <row r="44" spans="1:16" s="1" customFormat="1" ht="59.25" customHeight="1" x14ac:dyDescent="0.3">
      <c r="A44" s="57" t="s">
        <v>75</v>
      </c>
      <c r="B44" s="125"/>
      <c r="C44" s="123" t="s">
        <v>76</v>
      </c>
      <c r="D44" s="123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</row>
    <row r="45" spans="1:16" s="1" customFormat="1" ht="18.75" x14ac:dyDescent="0.3">
      <c r="A45" s="57" t="s">
        <v>77</v>
      </c>
      <c r="B45" s="124" t="s">
        <v>78</v>
      </c>
      <c r="C45" s="124"/>
      <c r="D45" s="124"/>
      <c r="E45" s="59">
        <f>E31+E32+E33+E34+E35+E36+E37+E38+E39+E40+E41+E43+E42+E44</f>
        <v>62</v>
      </c>
      <c r="F45" s="59">
        <f t="shared" ref="F45:P45" si="1">F31+F32+F33+F34+F35+F36+F37+F38+F39+F40+F41+F43+F42+F44</f>
        <v>292.34100000000001</v>
      </c>
      <c r="G45" s="59">
        <f t="shared" si="1"/>
        <v>0</v>
      </c>
      <c r="H45" s="59">
        <f t="shared" si="1"/>
        <v>0</v>
      </c>
      <c r="I45" s="59">
        <f t="shared" si="1"/>
        <v>0</v>
      </c>
      <c r="J45" s="59">
        <f t="shared" si="1"/>
        <v>0</v>
      </c>
      <c r="K45" s="59">
        <f t="shared" si="1"/>
        <v>0</v>
      </c>
      <c r="L45" s="59">
        <f t="shared" si="1"/>
        <v>0</v>
      </c>
      <c r="M45" s="59">
        <f t="shared" si="1"/>
        <v>62</v>
      </c>
      <c r="N45" s="59">
        <f t="shared" si="1"/>
        <v>292.34100000000001</v>
      </c>
      <c r="O45" s="59">
        <f t="shared" si="1"/>
        <v>47</v>
      </c>
      <c r="P45" s="59">
        <f t="shared" si="1"/>
        <v>228.441</v>
      </c>
    </row>
    <row r="46" spans="1:16" customFormat="1" x14ac:dyDescent="0.2">
      <c r="E46" s="6"/>
      <c r="F46" s="6"/>
      <c r="G46" s="6"/>
      <c r="H46" s="6"/>
      <c r="I46" s="6"/>
      <c r="J46" s="6"/>
      <c r="K46" s="6"/>
      <c r="L46" s="6"/>
      <c r="M46" s="6"/>
    </row>
    <row r="47" spans="1:16" ht="18.75" x14ac:dyDescent="0.2">
      <c r="A47" s="32" t="s">
        <v>86</v>
      </c>
    </row>
  </sheetData>
  <mergeCells count="55">
    <mergeCell ref="B45:D45"/>
    <mergeCell ref="B39:B44"/>
    <mergeCell ref="C39:D39"/>
    <mergeCell ref="C40:D40"/>
    <mergeCell ref="C41:D41"/>
    <mergeCell ref="C42:D42"/>
    <mergeCell ref="C43:D43"/>
    <mergeCell ref="C44:D44"/>
    <mergeCell ref="B37:B38"/>
    <mergeCell ref="I27:L27"/>
    <mergeCell ref="M27:M29"/>
    <mergeCell ref="N27:N29"/>
    <mergeCell ref="O27:O29"/>
    <mergeCell ref="B30:D30"/>
    <mergeCell ref="B31:B34"/>
    <mergeCell ref="C31:C32"/>
    <mergeCell ref="C33:C34"/>
    <mergeCell ref="B35:B36"/>
    <mergeCell ref="P27:P29"/>
    <mergeCell ref="I28:I29"/>
    <mergeCell ref="J28:K28"/>
    <mergeCell ref="A26:A29"/>
    <mergeCell ref="B26:D29"/>
    <mergeCell ref="E26:F26"/>
    <mergeCell ref="G26:L26"/>
    <mergeCell ref="M26:N26"/>
    <mergeCell ref="O26:P26"/>
    <mergeCell ref="E27:E29"/>
    <mergeCell ref="F27:F29"/>
    <mergeCell ref="G27:G29"/>
    <mergeCell ref="H27:H29"/>
    <mergeCell ref="A24:P24"/>
    <mergeCell ref="I4:I5"/>
    <mergeCell ref="J4:J5"/>
    <mergeCell ref="K4:M4"/>
    <mergeCell ref="B6:D6"/>
    <mergeCell ref="B7:D7"/>
    <mergeCell ref="B8:B11"/>
    <mergeCell ref="C8:C9"/>
    <mergeCell ref="C10:C11"/>
    <mergeCell ref="B12:B13"/>
    <mergeCell ref="B14:B15"/>
    <mergeCell ref="B16:D16"/>
    <mergeCell ref="B17:D17"/>
    <mergeCell ref="B18:D18"/>
    <mergeCell ref="A1:M1"/>
    <mergeCell ref="A3:A6"/>
    <mergeCell ref="B3:D5"/>
    <mergeCell ref="E3:F3"/>
    <mergeCell ref="G3:H3"/>
    <mergeCell ref="I3:M3"/>
    <mergeCell ref="E4:E5"/>
    <mergeCell ref="F4:F5"/>
    <mergeCell ref="G4:G5"/>
    <mergeCell ref="H4:H5"/>
  </mergeCells>
  <pageMargins left="0.7" right="0.7" top="0.75" bottom="0.75" header="0.3" footer="0.3"/>
  <pageSetup paperSize="9" scale="32" orientation="landscape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7"/>
  <sheetViews>
    <sheetView topLeftCell="A33" workbookViewId="0">
      <selection activeCell="M36" sqref="M36"/>
    </sheetView>
  </sheetViews>
  <sheetFormatPr defaultRowHeight="12.75" x14ac:dyDescent="0.2"/>
  <cols>
    <col min="1" max="1" width="4.5703125" style="4" customWidth="1"/>
    <col min="2" max="2" width="18" style="4" customWidth="1"/>
    <col min="3" max="3" width="18.28515625" style="4" customWidth="1"/>
    <col min="4" max="4" width="28.85546875" style="4" customWidth="1"/>
    <col min="5" max="5" width="15.5703125" style="5" customWidth="1"/>
    <col min="6" max="6" width="11.85546875" style="5" customWidth="1"/>
    <col min="7" max="7" width="16" style="5" customWidth="1"/>
    <col min="8" max="8" width="12.5703125" style="5" customWidth="1"/>
    <col min="9" max="9" width="16" style="5" customWidth="1"/>
    <col min="10" max="10" width="13.7109375" style="5" bestFit="1" customWidth="1"/>
    <col min="11" max="11" width="16.85546875" style="5" customWidth="1"/>
    <col min="12" max="12" width="21.5703125" style="5" customWidth="1"/>
    <col min="13" max="13" width="21.42578125" style="5" customWidth="1"/>
    <col min="14" max="15" width="9.140625" style="4"/>
    <col min="16" max="16" width="11.7109375" style="4" customWidth="1"/>
    <col min="17" max="16384" width="9.140625" style="4"/>
  </cols>
  <sheetData>
    <row r="1" spans="1:13" s="1" customFormat="1" ht="39.75" customHeight="1" x14ac:dyDescent="0.3">
      <c r="A1" s="126" t="s">
        <v>97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</row>
    <row r="2" spans="1:13" s="1" customFormat="1" ht="18.75" x14ac:dyDescent="0.3">
      <c r="E2" s="2"/>
      <c r="F2" s="2"/>
      <c r="G2" s="2"/>
      <c r="H2" s="2"/>
      <c r="I2" s="2"/>
      <c r="J2" s="2"/>
      <c r="K2" s="2"/>
      <c r="L2" s="2"/>
      <c r="M2" s="2"/>
    </row>
    <row r="3" spans="1:13" s="3" customFormat="1" ht="75" customHeight="1" x14ac:dyDescent="0.3">
      <c r="A3" s="110" t="s">
        <v>0</v>
      </c>
      <c r="B3" s="110" t="s">
        <v>1</v>
      </c>
      <c r="C3" s="110"/>
      <c r="D3" s="110"/>
      <c r="E3" s="113" t="s">
        <v>2</v>
      </c>
      <c r="F3" s="113"/>
      <c r="G3" s="113" t="s">
        <v>3</v>
      </c>
      <c r="H3" s="113"/>
      <c r="I3" s="113" t="s">
        <v>4</v>
      </c>
      <c r="J3" s="113"/>
      <c r="K3" s="113"/>
      <c r="L3" s="113"/>
      <c r="M3" s="113"/>
    </row>
    <row r="4" spans="1:13" s="3" customFormat="1" ht="18.75" x14ac:dyDescent="0.3">
      <c r="A4" s="110"/>
      <c r="B4" s="110"/>
      <c r="C4" s="110"/>
      <c r="D4" s="110"/>
      <c r="E4" s="113" t="s">
        <v>5</v>
      </c>
      <c r="F4" s="113" t="s">
        <v>6</v>
      </c>
      <c r="G4" s="113" t="s">
        <v>5</v>
      </c>
      <c r="H4" s="113" t="s">
        <v>6</v>
      </c>
      <c r="I4" s="113" t="s">
        <v>5</v>
      </c>
      <c r="J4" s="113" t="s">
        <v>6</v>
      </c>
      <c r="K4" s="114" t="s">
        <v>34</v>
      </c>
      <c r="L4" s="113"/>
      <c r="M4" s="113"/>
    </row>
    <row r="5" spans="1:13" s="3" customFormat="1" ht="57" customHeight="1" x14ac:dyDescent="0.3">
      <c r="A5" s="110"/>
      <c r="B5" s="110"/>
      <c r="C5" s="110"/>
      <c r="D5" s="110"/>
      <c r="E5" s="113"/>
      <c r="F5" s="113"/>
      <c r="G5" s="113"/>
      <c r="H5" s="113"/>
      <c r="I5" s="113"/>
      <c r="J5" s="113"/>
      <c r="K5" s="75" t="s">
        <v>7</v>
      </c>
      <c r="L5" s="75" t="s">
        <v>8</v>
      </c>
      <c r="M5" s="75" t="s">
        <v>9</v>
      </c>
    </row>
    <row r="6" spans="1:13" s="3" customFormat="1" ht="18.75" x14ac:dyDescent="0.3">
      <c r="A6" s="110"/>
      <c r="B6" s="110" t="s">
        <v>10</v>
      </c>
      <c r="C6" s="110"/>
      <c r="D6" s="110"/>
      <c r="E6" s="75" t="s">
        <v>11</v>
      </c>
      <c r="F6" s="75" t="s">
        <v>12</v>
      </c>
      <c r="G6" s="75" t="s">
        <v>13</v>
      </c>
      <c r="H6" s="75" t="s">
        <v>14</v>
      </c>
      <c r="I6" s="75" t="s">
        <v>15</v>
      </c>
      <c r="J6" s="75" t="s">
        <v>16</v>
      </c>
      <c r="K6" s="75" t="s">
        <v>17</v>
      </c>
      <c r="L6" s="75" t="s">
        <v>18</v>
      </c>
      <c r="M6" s="75" t="s">
        <v>19</v>
      </c>
    </row>
    <row r="7" spans="1:13" s="3" customFormat="1" ht="18.75" x14ac:dyDescent="0.3">
      <c r="A7" s="73" t="s">
        <v>20</v>
      </c>
      <c r="B7" s="110" t="s">
        <v>21</v>
      </c>
      <c r="C7" s="110"/>
      <c r="D7" s="110"/>
      <c r="E7" s="75"/>
      <c r="F7" s="75"/>
      <c r="G7" s="75"/>
      <c r="H7" s="75"/>
      <c r="I7" s="75"/>
      <c r="J7" s="75"/>
      <c r="K7" s="75"/>
      <c r="L7" s="75"/>
      <c r="M7" s="75"/>
    </row>
    <row r="8" spans="1:13" s="3" customFormat="1" ht="18.75" x14ac:dyDescent="0.3">
      <c r="A8" s="73" t="s">
        <v>11</v>
      </c>
      <c r="B8" s="110" t="s">
        <v>22</v>
      </c>
      <c r="C8" s="110" t="s">
        <v>23</v>
      </c>
      <c r="D8" s="76" t="s">
        <v>24</v>
      </c>
      <c r="E8" s="71">
        <f>6+6+11+7+4</f>
        <v>34</v>
      </c>
      <c r="F8" s="71">
        <f>30+30+55+37+16.04</f>
        <v>168.04</v>
      </c>
      <c r="G8" s="71">
        <f>17+6+4+2+4</f>
        <v>33</v>
      </c>
      <c r="H8" s="71">
        <f>30+30+20+10+16.04</f>
        <v>106.03999999999999</v>
      </c>
      <c r="I8" s="71">
        <f>5</f>
        <v>5</v>
      </c>
      <c r="J8" s="71">
        <f>27</f>
        <v>27</v>
      </c>
      <c r="K8" s="71">
        <f>5</f>
        <v>5</v>
      </c>
      <c r="L8" s="71"/>
      <c r="M8" s="71"/>
    </row>
    <row r="9" spans="1:13" s="3" customFormat="1" ht="37.5" x14ac:dyDescent="0.3">
      <c r="A9" s="73" t="s">
        <v>12</v>
      </c>
      <c r="B9" s="110"/>
      <c r="C9" s="110"/>
      <c r="D9" s="76" t="s">
        <v>25</v>
      </c>
      <c r="E9" s="71">
        <f>6+26</f>
        <v>32</v>
      </c>
      <c r="F9" s="71">
        <f>21.3+109.2</f>
        <v>130.5</v>
      </c>
      <c r="G9" s="71">
        <f>6+30</f>
        <v>36</v>
      </c>
      <c r="H9" s="71">
        <f>21.3+126</f>
        <v>147.30000000000001</v>
      </c>
      <c r="I9" s="71"/>
      <c r="J9" s="71"/>
      <c r="K9" s="71"/>
      <c r="L9" s="71"/>
      <c r="M9" s="71"/>
    </row>
    <row r="10" spans="1:13" s="3" customFormat="1" ht="18.75" x14ac:dyDescent="0.3">
      <c r="A10" s="73" t="s">
        <v>13</v>
      </c>
      <c r="B10" s="110"/>
      <c r="C10" s="110" t="s">
        <v>26</v>
      </c>
      <c r="D10" s="76" t="s">
        <v>24</v>
      </c>
      <c r="E10" s="71">
        <f>5</f>
        <v>5</v>
      </c>
      <c r="F10" s="71">
        <f>32.2</f>
        <v>32.200000000000003</v>
      </c>
      <c r="G10" s="71"/>
      <c r="H10" s="71"/>
      <c r="I10" s="71"/>
      <c r="J10" s="71"/>
      <c r="K10" s="71"/>
      <c r="L10" s="71"/>
      <c r="M10" s="71"/>
    </row>
    <row r="11" spans="1:13" s="3" customFormat="1" ht="37.5" x14ac:dyDescent="0.3">
      <c r="A11" s="73" t="s">
        <v>14</v>
      </c>
      <c r="B11" s="110"/>
      <c r="C11" s="110"/>
      <c r="D11" s="76" t="s">
        <v>25</v>
      </c>
      <c r="E11" s="71">
        <f>1+2+5</f>
        <v>8</v>
      </c>
      <c r="F11" s="71">
        <f>26+13.04+101.1</f>
        <v>140.13999999999999</v>
      </c>
      <c r="G11" s="71">
        <f>1+2+5</f>
        <v>8</v>
      </c>
      <c r="H11" s="71">
        <f>26+13.4+101.1</f>
        <v>140.5</v>
      </c>
      <c r="I11" s="71"/>
      <c r="J11" s="71"/>
      <c r="K11" s="71"/>
      <c r="L11" s="71"/>
      <c r="M11" s="71"/>
    </row>
    <row r="12" spans="1:13" s="3" customFormat="1" ht="37.5" x14ac:dyDescent="0.3">
      <c r="A12" s="73" t="s">
        <v>15</v>
      </c>
      <c r="B12" s="110" t="s">
        <v>27</v>
      </c>
      <c r="C12" s="73" t="s">
        <v>23</v>
      </c>
      <c r="D12" s="76" t="s">
        <v>25</v>
      </c>
      <c r="E12" s="71"/>
      <c r="F12" s="71"/>
      <c r="G12" s="71"/>
      <c r="H12" s="71"/>
      <c r="I12" s="71"/>
      <c r="J12" s="71"/>
      <c r="K12" s="71"/>
      <c r="L12" s="71"/>
      <c r="M12" s="71"/>
    </row>
    <row r="13" spans="1:13" s="3" customFormat="1" ht="37.5" x14ac:dyDescent="0.3">
      <c r="A13" s="73" t="s">
        <v>16</v>
      </c>
      <c r="B13" s="110"/>
      <c r="C13" s="73" t="s">
        <v>26</v>
      </c>
      <c r="D13" s="76" t="s">
        <v>25</v>
      </c>
      <c r="E13" s="71"/>
      <c r="F13" s="71"/>
      <c r="G13" s="71">
        <f>1</f>
        <v>1</v>
      </c>
      <c r="H13" s="71">
        <f>118.53</f>
        <v>118.53</v>
      </c>
      <c r="I13" s="71"/>
      <c r="J13" s="71"/>
      <c r="K13" s="71"/>
      <c r="L13" s="71"/>
      <c r="M13" s="71"/>
    </row>
    <row r="14" spans="1:13" s="3" customFormat="1" ht="37.5" x14ac:dyDescent="0.3">
      <c r="A14" s="73">
        <v>8</v>
      </c>
      <c r="B14" s="110" t="s">
        <v>28</v>
      </c>
      <c r="C14" s="73" t="s">
        <v>23</v>
      </c>
      <c r="D14" s="76" t="s">
        <v>25</v>
      </c>
      <c r="E14" s="71"/>
      <c r="F14" s="71"/>
      <c r="G14" s="71"/>
      <c r="H14" s="71"/>
      <c r="I14" s="71"/>
      <c r="J14" s="71"/>
      <c r="K14" s="71"/>
      <c r="L14" s="71"/>
      <c r="M14" s="71"/>
    </row>
    <row r="15" spans="1:13" s="3" customFormat="1" ht="37.5" x14ac:dyDescent="0.3">
      <c r="A15" s="73" t="s">
        <v>18</v>
      </c>
      <c r="B15" s="110"/>
      <c r="C15" s="73" t="s">
        <v>26</v>
      </c>
      <c r="D15" s="76" t="s">
        <v>25</v>
      </c>
      <c r="E15" s="71">
        <f>1</f>
        <v>1</v>
      </c>
      <c r="F15" s="71">
        <f>1232.6</f>
        <v>1232.5999999999999</v>
      </c>
      <c r="G15" s="71">
        <f>1</f>
        <v>1</v>
      </c>
      <c r="H15" s="71">
        <f>1232.6</f>
        <v>1232.5999999999999</v>
      </c>
      <c r="I15" s="71"/>
      <c r="J15" s="71"/>
      <c r="K15" s="71"/>
      <c r="L15" s="71"/>
      <c r="M15" s="71"/>
    </row>
    <row r="16" spans="1:13" s="3" customFormat="1" ht="18.75" x14ac:dyDescent="0.3">
      <c r="A16" s="73" t="s">
        <v>19</v>
      </c>
      <c r="B16" s="110" t="s">
        <v>29</v>
      </c>
      <c r="C16" s="110"/>
      <c r="D16" s="110"/>
      <c r="E16" s="71"/>
      <c r="F16" s="71"/>
      <c r="G16" s="71"/>
      <c r="H16" s="71"/>
      <c r="I16" s="71"/>
      <c r="J16" s="71"/>
      <c r="K16" s="71"/>
      <c r="L16" s="71"/>
      <c r="M16" s="71"/>
    </row>
    <row r="17" spans="1:16" s="3" customFormat="1" ht="18.75" x14ac:dyDescent="0.3">
      <c r="A17" s="73" t="s">
        <v>30</v>
      </c>
      <c r="B17" s="110" t="s">
        <v>31</v>
      </c>
      <c r="C17" s="110"/>
      <c r="D17" s="110"/>
      <c r="E17" s="71">
        <f>E8+E9+E10+E11+E12+E13+E14+E15+E16</f>
        <v>80</v>
      </c>
      <c r="F17" s="71">
        <f t="shared" ref="F17:M17" si="0">F8+F9+F10+F11+F12+F13+F14+F15+F16</f>
        <v>1703.4799999999998</v>
      </c>
      <c r="G17" s="71">
        <f t="shared" si="0"/>
        <v>79</v>
      </c>
      <c r="H17" s="71">
        <f t="shared" si="0"/>
        <v>1744.9699999999998</v>
      </c>
      <c r="I17" s="71">
        <f t="shared" si="0"/>
        <v>5</v>
      </c>
      <c r="J17" s="71">
        <f t="shared" si="0"/>
        <v>27</v>
      </c>
      <c r="K17" s="71">
        <f t="shared" si="0"/>
        <v>5</v>
      </c>
      <c r="L17" s="71">
        <f t="shared" si="0"/>
        <v>0</v>
      </c>
      <c r="M17" s="71">
        <f t="shared" si="0"/>
        <v>0</v>
      </c>
    </row>
    <row r="18" spans="1:16" s="3" customFormat="1" ht="18.75" x14ac:dyDescent="0.3">
      <c r="A18" s="73" t="s">
        <v>32</v>
      </c>
      <c r="B18" s="110" t="s">
        <v>33</v>
      </c>
      <c r="C18" s="110"/>
      <c r="D18" s="110"/>
      <c r="E18" s="71"/>
      <c r="F18" s="71"/>
      <c r="G18" s="71"/>
      <c r="H18" s="71"/>
      <c r="I18" s="71"/>
      <c r="J18" s="71"/>
      <c r="K18" s="71"/>
      <c r="L18" s="71"/>
      <c r="M18" s="71"/>
    </row>
    <row r="21" spans="1:16" customFormat="1" x14ac:dyDescent="0.2">
      <c r="E21" s="6"/>
      <c r="F21" s="6"/>
      <c r="G21" s="6"/>
      <c r="H21" s="6"/>
      <c r="I21" s="6"/>
      <c r="J21" s="6"/>
      <c r="K21" s="6"/>
      <c r="L21" s="6"/>
      <c r="M21" s="6"/>
    </row>
    <row r="22" spans="1:16" s="1" customFormat="1" ht="18.75" x14ac:dyDescent="0.3">
      <c r="A22" s="7" t="s">
        <v>35</v>
      </c>
      <c r="E22" s="2"/>
      <c r="F22" s="2"/>
      <c r="G22" s="2"/>
      <c r="H22" s="2"/>
      <c r="I22" s="2"/>
      <c r="J22" s="2"/>
      <c r="K22" s="2"/>
      <c r="L22" s="2"/>
      <c r="M22" s="2"/>
    </row>
    <row r="23" spans="1:16" s="1" customFormat="1" ht="18.75" x14ac:dyDescent="0.3">
      <c r="E23" s="2"/>
      <c r="F23" s="2"/>
      <c r="G23" s="2"/>
      <c r="H23" s="2"/>
      <c r="I23" s="2"/>
      <c r="J23" s="2"/>
      <c r="K23" s="2"/>
      <c r="L23" s="2"/>
      <c r="M23" s="2"/>
    </row>
    <row r="24" spans="1:16" s="1" customFormat="1" ht="36.75" customHeight="1" x14ac:dyDescent="0.3">
      <c r="A24" s="111" t="s">
        <v>98</v>
      </c>
      <c r="B24" s="112"/>
      <c r="C24" s="112"/>
      <c r="D24" s="112"/>
      <c r="E24" s="112"/>
      <c r="F24" s="112"/>
      <c r="G24" s="112"/>
      <c r="H24" s="112"/>
      <c r="I24" s="112"/>
      <c r="J24" s="112"/>
      <c r="K24" s="112"/>
      <c r="L24" s="112"/>
      <c r="M24" s="112"/>
      <c r="N24" s="112"/>
      <c r="O24" s="112"/>
      <c r="P24" s="112"/>
    </row>
    <row r="25" spans="1:16" s="1" customFormat="1" ht="18.75" x14ac:dyDescent="0.3">
      <c r="E25" s="2"/>
      <c r="F25" s="2"/>
      <c r="G25" s="2"/>
      <c r="H25" s="2"/>
      <c r="I25" s="2"/>
      <c r="J25" s="2"/>
      <c r="K25" s="2"/>
      <c r="L25" s="2"/>
      <c r="M25" s="2"/>
    </row>
    <row r="26" spans="1:16" s="1" customFormat="1" ht="56.25" customHeight="1" x14ac:dyDescent="0.3">
      <c r="A26" s="128" t="s">
        <v>0</v>
      </c>
      <c r="B26" s="115" t="s">
        <v>36</v>
      </c>
      <c r="C26" s="115"/>
      <c r="D26" s="115"/>
      <c r="E26" s="113" t="s">
        <v>37</v>
      </c>
      <c r="F26" s="113"/>
      <c r="G26" s="116" t="s">
        <v>79</v>
      </c>
      <c r="H26" s="116"/>
      <c r="I26" s="116"/>
      <c r="J26" s="116"/>
      <c r="K26" s="116"/>
      <c r="L26" s="116"/>
      <c r="M26" s="117" t="s">
        <v>38</v>
      </c>
      <c r="N26" s="117"/>
      <c r="O26" s="117" t="s">
        <v>39</v>
      </c>
      <c r="P26" s="117"/>
    </row>
    <row r="27" spans="1:16" s="1" customFormat="1" ht="20.25" customHeight="1" x14ac:dyDescent="0.3">
      <c r="A27" s="129"/>
      <c r="B27" s="115"/>
      <c r="C27" s="115"/>
      <c r="D27" s="115"/>
      <c r="E27" s="118" t="s">
        <v>40</v>
      </c>
      <c r="F27" s="119" t="s">
        <v>41</v>
      </c>
      <c r="G27" s="118" t="s">
        <v>40</v>
      </c>
      <c r="H27" s="119" t="s">
        <v>41</v>
      </c>
      <c r="I27" s="116" t="s">
        <v>42</v>
      </c>
      <c r="J27" s="116"/>
      <c r="K27" s="116"/>
      <c r="L27" s="116"/>
      <c r="M27" s="118" t="s">
        <v>40</v>
      </c>
      <c r="N27" s="119" t="s">
        <v>41</v>
      </c>
      <c r="O27" s="118" t="s">
        <v>40</v>
      </c>
      <c r="P27" s="119" t="s">
        <v>41</v>
      </c>
    </row>
    <row r="28" spans="1:16" s="1" customFormat="1" ht="18.75" x14ac:dyDescent="0.3">
      <c r="A28" s="129"/>
      <c r="B28" s="115"/>
      <c r="C28" s="115"/>
      <c r="D28" s="115"/>
      <c r="E28" s="118"/>
      <c r="F28" s="119"/>
      <c r="G28" s="118"/>
      <c r="H28" s="119"/>
      <c r="I28" s="120" t="s">
        <v>43</v>
      </c>
      <c r="J28" s="116" t="s">
        <v>44</v>
      </c>
      <c r="K28" s="116"/>
      <c r="L28" s="72" t="s">
        <v>45</v>
      </c>
      <c r="M28" s="118"/>
      <c r="N28" s="119"/>
      <c r="O28" s="118"/>
      <c r="P28" s="119"/>
    </row>
    <row r="29" spans="1:16" s="1" customFormat="1" ht="96" customHeight="1" x14ac:dyDescent="0.3">
      <c r="A29" s="130"/>
      <c r="B29" s="115"/>
      <c r="C29" s="115"/>
      <c r="D29" s="115"/>
      <c r="E29" s="118"/>
      <c r="F29" s="119"/>
      <c r="G29" s="118"/>
      <c r="H29" s="119"/>
      <c r="I29" s="120"/>
      <c r="J29" s="75" t="s">
        <v>46</v>
      </c>
      <c r="K29" s="75" t="s">
        <v>47</v>
      </c>
      <c r="L29" s="75" t="s">
        <v>48</v>
      </c>
      <c r="M29" s="118"/>
      <c r="N29" s="119"/>
      <c r="O29" s="118"/>
      <c r="P29" s="119"/>
    </row>
    <row r="30" spans="1:16" s="2" customFormat="1" ht="18.75" x14ac:dyDescent="0.3">
      <c r="A30" s="72"/>
      <c r="B30" s="116" t="s">
        <v>49</v>
      </c>
      <c r="C30" s="116"/>
      <c r="D30" s="116"/>
      <c r="E30" s="72" t="s">
        <v>50</v>
      </c>
      <c r="F30" s="72" t="s">
        <v>51</v>
      </c>
      <c r="G30" s="72" t="s">
        <v>52</v>
      </c>
      <c r="H30" s="72" t="s">
        <v>53</v>
      </c>
      <c r="I30" s="72" t="s">
        <v>54</v>
      </c>
      <c r="J30" s="72" t="s">
        <v>55</v>
      </c>
      <c r="K30" s="72" t="s">
        <v>56</v>
      </c>
      <c r="L30" s="72" t="s">
        <v>57</v>
      </c>
      <c r="M30" s="72" t="s">
        <v>58</v>
      </c>
      <c r="N30" s="72">
        <v>11</v>
      </c>
      <c r="O30" s="72" t="s">
        <v>59</v>
      </c>
      <c r="P30" s="72" t="s">
        <v>60</v>
      </c>
    </row>
    <row r="31" spans="1:16" s="1" customFormat="1" ht="18.75" x14ac:dyDescent="0.3">
      <c r="A31" s="69" t="s">
        <v>49</v>
      </c>
      <c r="B31" s="122" t="s">
        <v>61</v>
      </c>
      <c r="C31" s="123" t="s">
        <v>62</v>
      </c>
      <c r="D31" s="17" t="s">
        <v>63</v>
      </c>
      <c r="E31" s="71">
        <f>17+5+2+5</f>
        <v>29</v>
      </c>
      <c r="F31" s="71">
        <f>75+25+10+20.05</f>
        <v>130.05000000000001</v>
      </c>
      <c r="G31" s="74"/>
      <c r="H31" s="74"/>
      <c r="I31" s="74"/>
      <c r="J31" s="74"/>
      <c r="K31" s="74"/>
      <c r="L31" s="74"/>
      <c r="M31" s="71">
        <f>17+5+2+5</f>
        <v>29</v>
      </c>
      <c r="N31" s="71">
        <f>75+25+10+20.05</f>
        <v>130.05000000000001</v>
      </c>
      <c r="O31" s="71">
        <f>16+2+5</f>
        <v>23</v>
      </c>
      <c r="P31" s="71">
        <f>70.74+10+20.05</f>
        <v>100.78999999999999</v>
      </c>
    </row>
    <row r="32" spans="1:16" s="1" customFormat="1" ht="37.5" x14ac:dyDescent="0.3">
      <c r="A32" s="69" t="s">
        <v>50</v>
      </c>
      <c r="B32" s="122"/>
      <c r="C32" s="123"/>
      <c r="D32" s="77" t="s">
        <v>64</v>
      </c>
      <c r="E32" s="74">
        <f>2+26</f>
        <v>28</v>
      </c>
      <c r="F32" s="74">
        <f>8+109.2</f>
        <v>117.2</v>
      </c>
      <c r="G32" s="74"/>
      <c r="H32" s="74"/>
      <c r="I32" s="74"/>
      <c r="J32" s="74"/>
      <c r="K32" s="74"/>
      <c r="L32" s="74"/>
      <c r="M32" s="74">
        <f>2+58</f>
        <v>60</v>
      </c>
      <c r="N32" s="74">
        <f>8+243.6</f>
        <v>251.6</v>
      </c>
      <c r="O32" s="74">
        <f>2+49</f>
        <v>51</v>
      </c>
      <c r="P32" s="74">
        <f>8+205.8</f>
        <v>213.8</v>
      </c>
    </row>
    <row r="33" spans="1:16" s="1" customFormat="1" ht="18.75" x14ac:dyDescent="0.3">
      <c r="A33" s="69" t="s">
        <v>51</v>
      </c>
      <c r="B33" s="122"/>
      <c r="C33" s="123" t="s">
        <v>65</v>
      </c>
      <c r="D33" s="17" t="s">
        <v>63</v>
      </c>
      <c r="E33" s="74"/>
      <c r="F33" s="74"/>
      <c r="G33" s="74"/>
      <c r="H33" s="74"/>
      <c r="I33" s="74"/>
      <c r="J33" s="74"/>
      <c r="K33" s="74"/>
      <c r="L33" s="74"/>
      <c r="M33" s="74"/>
      <c r="N33" s="74"/>
      <c r="O33" s="74"/>
      <c r="P33" s="74"/>
    </row>
    <row r="34" spans="1:16" s="1" customFormat="1" ht="37.5" x14ac:dyDescent="0.3">
      <c r="A34" s="69" t="s">
        <v>52</v>
      </c>
      <c r="B34" s="122"/>
      <c r="C34" s="123"/>
      <c r="D34" s="76" t="s">
        <v>25</v>
      </c>
      <c r="E34" s="74">
        <f>2+1+5</f>
        <v>8</v>
      </c>
      <c r="F34" s="74">
        <f>10+10.67+101.1</f>
        <v>121.77</v>
      </c>
      <c r="G34" s="74"/>
      <c r="H34" s="74"/>
      <c r="I34" s="74"/>
      <c r="J34" s="74"/>
      <c r="K34" s="74"/>
      <c r="L34" s="74"/>
      <c r="M34" s="74">
        <f>1+1+2</f>
        <v>4</v>
      </c>
      <c r="N34" s="74">
        <f>10+10.67+10</f>
        <v>30.67</v>
      </c>
      <c r="O34" s="74">
        <f>1+2</f>
        <v>3</v>
      </c>
      <c r="P34" s="74">
        <f>10.67+10</f>
        <v>20.67</v>
      </c>
    </row>
    <row r="35" spans="1:16" s="1" customFormat="1" ht="37.5" x14ac:dyDescent="0.3">
      <c r="A35" s="69" t="s">
        <v>53</v>
      </c>
      <c r="B35" s="125" t="s">
        <v>66</v>
      </c>
      <c r="C35" s="70" t="s">
        <v>62</v>
      </c>
      <c r="D35" s="76" t="s">
        <v>25</v>
      </c>
      <c r="E35" s="74"/>
      <c r="F35" s="74"/>
      <c r="G35" s="74"/>
      <c r="H35" s="74"/>
      <c r="I35" s="74"/>
      <c r="J35" s="74"/>
      <c r="K35" s="74"/>
      <c r="L35" s="74"/>
      <c r="M35" s="74"/>
      <c r="N35" s="74"/>
      <c r="O35" s="74"/>
      <c r="P35" s="74"/>
    </row>
    <row r="36" spans="1:16" s="1" customFormat="1" ht="51" customHeight="1" x14ac:dyDescent="0.3">
      <c r="A36" s="69" t="s">
        <v>54</v>
      </c>
      <c r="B36" s="125"/>
      <c r="C36" s="70" t="s">
        <v>65</v>
      </c>
      <c r="D36" s="76" t="s">
        <v>25</v>
      </c>
      <c r="E36" s="74"/>
      <c r="F36" s="74"/>
      <c r="G36" s="74"/>
      <c r="H36" s="74"/>
      <c r="I36" s="74"/>
      <c r="J36" s="74"/>
      <c r="K36" s="74"/>
      <c r="L36" s="74"/>
      <c r="M36" s="74"/>
      <c r="N36" s="74"/>
      <c r="O36" s="74"/>
      <c r="P36" s="74"/>
    </row>
    <row r="37" spans="1:16" s="1" customFormat="1" ht="51.75" customHeight="1" x14ac:dyDescent="0.3">
      <c r="A37" s="69" t="s">
        <v>55</v>
      </c>
      <c r="B37" s="125" t="s">
        <v>67</v>
      </c>
      <c r="C37" s="70" t="s">
        <v>62</v>
      </c>
      <c r="D37" s="76" t="s">
        <v>25</v>
      </c>
      <c r="E37" s="74">
        <f>1</f>
        <v>1</v>
      </c>
      <c r="F37" s="74">
        <f>118.53</f>
        <v>118.53</v>
      </c>
      <c r="G37" s="74"/>
      <c r="H37" s="74"/>
      <c r="I37" s="74"/>
      <c r="J37" s="74"/>
      <c r="K37" s="74"/>
      <c r="L37" s="74"/>
      <c r="M37" s="74">
        <f>1</f>
        <v>1</v>
      </c>
      <c r="N37" s="74">
        <f>118.53</f>
        <v>118.53</v>
      </c>
      <c r="O37" s="74">
        <f>1</f>
        <v>1</v>
      </c>
      <c r="P37" s="74">
        <f>118.53</f>
        <v>118.53</v>
      </c>
    </row>
    <row r="38" spans="1:16" s="1" customFormat="1" ht="37.5" x14ac:dyDescent="0.3">
      <c r="A38" s="69" t="s">
        <v>56</v>
      </c>
      <c r="B38" s="125"/>
      <c r="C38" s="73" t="s">
        <v>26</v>
      </c>
      <c r="D38" s="76" t="s">
        <v>25</v>
      </c>
      <c r="E38" s="74"/>
      <c r="F38" s="74"/>
      <c r="G38" s="74"/>
      <c r="H38" s="74"/>
      <c r="I38" s="74"/>
      <c r="J38" s="74"/>
      <c r="K38" s="74"/>
      <c r="L38" s="74"/>
      <c r="M38" s="74"/>
      <c r="N38" s="74"/>
      <c r="O38" s="74"/>
      <c r="P38" s="74"/>
    </row>
    <row r="39" spans="1:16" s="1" customFormat="1" ht="58.5" customHeight="1" x14ac:dyDescent="0.3">
      <c r="A39" s="69" t="s">
        <v>57</v>
      </c>
      <c r="B39" s="125" t="s">
        <v>68</v>
      </c>
      <c r="C39" s="123" t="s">
        <v>69</v>
      </c>
      <c r="D39" s="123"/>
      <c r="E39" s="74"/>
      <c r="F39" s="74"/>
      <c r="G39" s="74"/>
      <c r="H39" s="74"/>
      <c r="I39" s="74"/>
      <c r="J39" s="74"/>
      <c r="K39" s="74"/>
      <c r="L39" s="74"/>
      <c r="M39" s="74"/>
      <c r="N39" s="74"/>
      <c r="O39" s="74"/>
      <c r="P39" s="74"/>
    </row>
    <row r="40" spans="1:16" s="1" customFormat="1" ht="24" customHeight="1" x14ac:dyDescent="0.3">
      <c r="A40" s="69" t="s">
        <v>58</v>
      </c>
      <c r="B40" s="125"/>
      <c r="C40" s="123" t="s">
        <v>70</v>
      </c>
      <c r="D40" s="123"/>
      <c r="E40" s="74"/>
      <c r="F40" s="74"/>
      <c r="G40" s="74"/>
      <c r="H40" s="74"/>
      <c r="I40" s="74"/>
      <c r="J40" s="74"/>
      <c r="K40" s="74"/>
      <c r="L40" s="74"/>
      <c r="M40" s="74"/>
      <c r="N40" s="74"/>
      <c r="O40" s="74"/>
      <c r="P40" s="74"/>
    </row>
    <row r="41" spans="1:16" s="1" customFormat="1" ht="60" customHeight="1" x14ac:dyDescent="0.3">
      <c r="A41" s="69" t="s">
        <v>71</v>
      </c>
      <c r="B41" s="125"/>
      <c r="C41" s="123" t="s">
        <v>72</v>
      </c>
      <c r="D41" s="123"/>
      <c r="E41" s="74"/>
      <c r="F41" s="74"/>
      <c r="G41" s="74"/>
      <c r="H41" s="74"/>
      <c r="I41" s="74"/>
      <c r="J41" s="74"/>
      <c r="K41" s="74"/>
      <c r="L41" s="74"/>
      <c r="M41" s="74"/>
      <c r="N41" s="74"/>
      <c r="O41" s="74"/>
      <c r="P41" s="74"/>
    </row>
    <row r="42" spans="1:16" s="1" customFormat="1" ht="18.75" x14ac:dyDescent="0.3">
      <c r="A42" s="69" t="s">
        <v>59</v>
      </c>
      <c r="B42" s="125"/>
      <c r="C42" s="124" t="s">
        <v>73</v>
      </c>
      <c r="D42" s="124"/>
      <c r="E42" s="74"/>
      <c r="F42" s="74"/>
      <c r="G42" s="74"/>
      <c r="H42" s="74"/>
      <c r="I42" s="74"/>
      <c r="J42" s="74"/>
      <c r="K42" s="74"/>
      <c r="L42" s="74"/>
      <c r="M42" s="74"/>
      <c r="N42" s="74"/>
      <c r="O42" s="74"/>
      <c r="P42" s="74"/>
    </row>
    <row r="43" spans="1:16" s="1" customFormat="1" ht="63.75" customHeight="1" x14ac:dyDescent="0.3">
      <c r="A43" s="69" t="s">
        <v>60</v>
      </c>
      <c r="B43" s="125"/>
      <c r="C43" s="123" t="s">
        <v>74</v>
      </c>
      <c r="D43" s="123"/>
      <c r="E43" s="74"/>
      <c r="F43" s="74"/>
      <c r="G43" s="74"/>
      <c r="H43" s="74"/>
      <c r="I43" s="74"/>
      <c r="J43" s="74"/>
      <c r="K43" s="74"/>
      <c r="L43" s="74"/>
      <c r="M43" s="74"/>
      <c r="N43" s="74"/>
      <c r="O43" s="74"/>
      <c r="P43" s="74"/>
    </row>
    <row r="44" spans="1:16" s="1" customFormat="1" ht="59.25" customHeight="1" x14ac:dyDescent="0.3">
      <c r="A44" s="69" t="s">
        <v>75</v>
      </c>
      <c r="B44" s="125"/>
      <c r="C44" s="123" t="s">
        <v>76</v>
      </c>
      <c r="D44" s="123"/>
      <c r="E44" s="74"/>
      <c r="F44" s="74"/>
      <c r="G44" s="74"/>
      <c r="H44" s="74"/>
      <c r="I44" s="74"/>
      <c r="J44" s="74"/>
      <c r="K44" s="74"/>
      <c r="L44" s="74"/>
      <c r="M44" s="74"/>
      <c r="N44" s="74"/>
      <c r="O44" s="74"/>
      <c r="P44" s="74"/>
    </row>
    <row r="45" spans="1:16" s="1" customFormat="1" ht="18.75" x14ac:dyDescent="0.3">
      <c r="A45" s="69" t="s">
        <v>77</v>
      </c>
      <c r="B45" s="124" t="s">
        <v>78</v>
      </c>
      <c r="C45" s="124"/>
      <c r="D45" s="124"/>
      <c r="E45" s="71">
        <f>E31+E32+E33+E34+E35+E36+E37+E38+E39+E40+E41+E43+E42+E44</f>
        <v>66</v>
      </c>
      <c r="F45" s="71">
        <f t="shared" ref="F45:P45" si="1">F31+F32+F33+F34+F35+F36+F37+F38+F39+F40+F41+F43+F42+F44</f>
        <v>487.54999999999995</v>
      </c>
      <c r="G45" s="71">
        <f t="shared" si="1"/>
        <v>0</v>
      </c>
      <c r="H45" s="71">
        <f t="shared" si="1"/>
        <v>0</v>
      </c>
      <c r="I45" s="71">
        <f t="shared" si="1"/>
        <v>0</v>
      </c>
      <c r="J45" s="71">
        <f t="shared" si="1"/>
        <v>0</v>
      </c>
      <c r="K45" s="71">
        <f t="shared" si="1"/>
        <v>0</v>
      </c>
      <c r="L45" s="71">
        <f t="shared" si="1"/>
        <v>0</v>
      </c>
      <c r="M45" s="71">
        <f t="shared" si="1"/>
        <v>94</v>
      </c>
      <c r="N45" s="71">
        <f t="shared" si="1"/>
        <v>530.85</v>
      </c>
      <c r="O45" s="71">
        <f t="shared" si="1"/>
        <v>78</v>
      </c>
      <c r="P45" s="71">
        <f t="shared" si="1"/>
        <v>453.79000000000008</v>
      </c>
    </row>
    <row r="46" spans="1:16" customFormat="1" x14ac:dyDescent="0.2">
      <c r="E46" s="6"/>
      <c r="F46" s="6"/>
      <c r="G46" s="6"/>
      <c r="H46" s="6"/>
      <c r="I46" s="6"/>
      <c r="J46" s="6"/>
      <c r="K46" s="6"/>
      <c r="L46" s="6"/>
      <c r="M46" s="6"/>
    </row>
    <row r="47" spans="1:16" ht="18.75" x14ac:dyDescent="0.2">
      <c r="A47" s="32" t="s">
        <v>86</v>
      </c>
    </row>
  </sheetData>
  <mergeCells count="55">
    <mergeCell ref="B45:D45"/>
    <mergeCell ref="B39:B44"/>
    <mergeCell ref="C39:D39"/>
    <mergeCell ref="C40:D40"/>
    <mergeCell ref="C41:D41"/>
    <mergeCell ref="C42:D42"/>
    <mergeCell ref="C43:D43"/>
    <mergeCell ref="C44:D44"/>
    <mergeCell ref="B37:B38"/>
    <mergeCell ref="I27:L27"/>
    <mergeCell ref="M27:M29"/>
    <mergeCell ref="N27:N29"/>
    <mergeCell ref="O27:O29"/>
    <mergeCell ref="B30:D30"/>
    <mergeCell ref="B31:B34"/>
    <mergeCell ref="C31:C32"/>
    <mergeCell ref="C33:C34"/>
    <mergeCell ref="B35:B36"/>
    <mergeCell ref="P27:P29"/>
    <mergeCell ref="I28:I29"/>
    <mergeCell ref="J28:K28"/>
    <mergeCell ref="A26:A29"/>
    <mergeCell ref="B26:D29"/>
    <mergeCell ref="E26:F26"/>
    <mergeCell ref="G26:L26"/>
    <mergeCell ref="M26:N26"/>
    <mergeCell ref="O26:P26"/>
    <mergeCell ref="E27:E29"/>
    <mergeCell ref="F27:F29"/>
    <mergeCell ref="G27:G29"/>
    <mergeCell ref="H27:H29"/>
    <mergeCell ref="A24:P24"/>
    <mergeCell ref="I4:I5"/>
    <mergeCell ref="J4:J5"/>
    <mergeCell ref="K4:M4"/>
    <mergeCell ref="B6:D6"/>
    <mergeCell ref="B7:D7"/>
    <mergeCell ref="B8:B11"/>
    <mergeCell ref="C8:C9"/>
    <mergeCell ref="C10:C11"/>
    <mergeCell ref="B12:B13"/>
    <mergeCell ref="B14:B15"/>
    <mergeCell ref="B16:D16"/>
    <mergeCell ref="B17:D17"/>
    <mergeCell ref="B18:D18"/>
    <mergeCell ref="A1:M1"/>
    <mergeCell ref="A3:A6"/>
    <mergeCell ref="B3:D5"/>
    <mergeCell ref="E3:F3"/>
    <mergeCell ref="G3:H3"/>
    <mergeCell ref="I3:M3"/>
    <mergeCell ref="E4:E5"/>
    <mergeCell ref="F4:F5"/>
    <mergeCell ref="G4:G5"/>
    <mergeCell ref="H4:H5"/>
  </mergeCells>
  <pageMargins left="0.7" right="0.7" top="0.75" bottom="0.75" header="0.3" footer="0.3"/>
  <pageSetup paperSize="9" scale="3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1</vt:i4>
      </vt:variant>
    </vt:vector>
  </HeadingPairs>
  <TitlesOfParts>
    <vt:vector size="13" baseType="lpstr">
      <vt:lpstr>январь</vt:lpstr>
      <vt:lpstr>февраль</vt:lpstr>
      <vt:lpstr>март</vt:lpstr>
      <vt:lpstr>апрель</vt:lpstr>
      <vt:lpstr>май</vt:lpstr>
      <vt:lpstr>июнь</vt:lpstr>
      <vt:lpstr>июль</vt:lpstr>
      <vt:lpstr>август</vt:lpstr>
      <vt:lpstr>сентябрь</vt:lpstr>
      <vt:lpstr>октябрь</vt:lpstr>
      <vt:lpstr>ноябрь</vt:lpstr>
      <vt:lpstr>декабрь</vt:lpstr>
      <vt:lpstr>январь!Область_печати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Темирова Людмила Аликовна</dc:creator>
  <cp:lastModifiedBy>Пользователь Windows</cp:lastModifiedBy>
  <cp:lastPrinted>2019-12-10T13:01:50Z</cp:lastPrinted>
  <dcterms:created xsi:type="dcterms:W3CDTF">2019-03-01T09:15:07Z</dcterms:created>
  <dcterms:modified xsi:type="dcterms:W3CDTF">2019-12-10T13:01:52Z</dcterms:modified>
</cp:coreProperties>
</file>